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6380" windowHeight="8190" tabRatio="936"/>
  </bookViews>
  <sheets>
    <sheet name="винил сайдинг А-П РОЗНИЦА" sheetId="13" r:id="rId1"/>
    <sheet name="винил блокхаус РОЗНИЦА" sheetId="14" r:id="rId2"/>
    <sheet name="Я-Фасад" sheetId="41" r:id="rId3"/>
    <sheet name="Виниловый сайдинг GL" sheetId="40" r:id="rId4"/>
    <sheet name="Сайдинг Карелия Розница" sheetId="39" r:id="rId5"/>
    <sheet name="Альта-Борд РОЗНИЦА" sheetId="16" r:id="rId6"/>
  </sheets>
  <definedNames>
    <definedName name="Belarus">1</definedName>
    <definedName name="розница" localSheetId="3">#REF!</definedName>
    <definedName name="розница" localSheetId="4">#REF!</definedName>
    <definedName name="розница" localSheetId="2">#REF!</definedName>
    <definedName name="розница">#REF!</definedName>
  </definedNames>
  <calcPr calcId="144525" refMode="R1C1"/>
</workbook>
</file>

<file path=xl/calcChain.xml><?xml version="1.0" encoding="utf-8"?>
<calcChain xmlns="http://schemas.openxmlformats.org/spreadsheetml/2006/main">
  <c r="E54" i="41" l="1"/>
  <c r="L53" i="41"/>
  <c r="E53" i="41"/>
  <c r="L52" i="41"/>
  <c r="E52" i="41"/>
  <c r="E51" i="41"/>
  <c r="E50" i="41"/>
  <c r="L49" i="41"/>
  <c r="E49" i="41"/>
  <c r="K41" i="41"/>
  <c r="K43" i="41" s="1"/>
  <c r="K40" i="41"/>
  <c r="K44" i="41" s="1"/>
  <c r="K39" i="41"/>
  <c r="L39" i="41" s="1"/>
  <c r="K38" i="41"/>
  <c r="L38" i="41" s="1"/>
  <c r="K37" i="41"/>
  <c r="L37" i="41" s="1"/>
  <c r="K36" i="41"/>
  <c r="L36" i="41" s="1"/>
  <c r="K35" i="41"/>
  <c r="L35" i="41" s="1"/>
  <c r="K34" i="41"/>
  <c r="L34" i="41" s="1"/>
  <c r="K29" i="41"/>
  <c r="J29" i="41"/>
  <c r="F29" i="41"/>
  <c r="G29" i="41" s="1"/>
  <c r="K28" i="41"/>
  <c r="J28" i="41"/>
  <c r="F28" i="41"/>
  <c r="I28" i="41" s="1"/>
  <c r="K27" i="41"/>
  <c r="J27" i="41"/>
  <c r="F27" i="41"/>
  <c r="H27" i="41" s="1"/>
  <c r="K26" i="41"/>
  <c r="F26" i="41"/>
  <c r="K25" i="41"/>
  <c r="J25" i="41"/>
  <c r="H25" i="41"/>
  <c r="F25" i="41"/>
  <c r="I25" i="41" s="1"/>
  <c r="K17" i="41"/>
  <c r="L16" i="41"/>
  <c r="K16" i="41"/>
  <c r="G16" i="41"/>
  <c r="L15" i="41"/>
  <c r="K15" i="41"/>
  <c r="G15" i="41"/>
  <c r="L14" i="41"/>
  <c r="K14" i="41"/>
  <c r="L13" i="41"/>
  <c r="K13" i="41"/>
  <c r="G13" i="41"/>
  <c r="L12" i="41"/>
  <c r="K12" i="41"/>
  <c r="G12" i="41"/>
  <c r="L11" i="41"/>
  <c r="K11" i="41"/>
  <c r="G11" i="41"/>
  <c r="H76" i="40"/>
  <c r="H74" i="40"/>
  <c r="H72" i="40"/>
  <c r="H71" i="40"/>
  <c r="H69" i="40"/>
  <c r="F62" i="40"/>
  <c r="H62" i="40" s="1"/>
  <c r="F61" i="40"/>
  <c r="H61" i="40" s="1"/>
  <c r="F60" i="40"/>
  <c r="H60" i="40" s="1"/>
  <c r="F59" i="40"/>
  <c r="H59" i="40" s="1"/>
  <c r="F58" i="40"/>
  <c r="H58" i="40" s="1"/>
  <c r="F57" i="40"/>
  <c r="H57" i="40" s="1"/>
  <c r="F56" i="40"/>
  <c r="H56" i="40" s="1"/>
  <c r="F55" i="40"/>
  <c r="H55" i="40" s="1"/>
  <c r="F54" i="40"/>
  <c r="H54" i="40" s="1"/>
  <c r="G48" i="40"/>
  <c r="S47" i="40"/>
  <c r="G47" i="40"/>
  <c r="U46" i="40"/>
  <c r="T46" i="40"/>
  <c r="S46" i="40"/>
  <c r="G46" i="40"/>
  <c r="U45" i="40"/>
  <c r="T45" i="40"/>
  <c r="S45" i="40"/>
  <c r="G45" i="40"/>
  <c r="T44" i="40"/>
  <c r="S44" i="40"/>
  <c r="G44" i="40"/>
  <c r="G43" i="40"/>
  <c r="U42" i="40"/>
  <c r="T42" i="40"/>
  <c r="S42" i="40"/>
  <c r="Q42" i="40"/>
  <c r="P42" i="40"/>
  <c r="G42" i="40"/>
  <c r="R42" i="40" s="1"/>
  <c r="S41" i="40"/>
  <c r="G41" i="40"/>
  <c r="X40" i="40"/>
  <c r="W40" i="40"/>
  <c r="V40" i="40"/>
  <c r="U40" i="40"/>
  <c r="T40" i="40"/>
  <c r="S40" i="40"/>
  <c r="P40" i="40"/>
  <c r="Q40" i="40" s="1"/>
  <c r="G40" i="40"/>
  <c r="R40" i="40" s="1"/>
  <c r="G39" i="40"/>
  <c r="U38" i="40"/>
  <c r="T38" i="40"/>
  <c r="S38" i="40"/>
  <c r="Q38" i="40"/>
  <c r="P38" i="40"/>
  <c r="I38" i="40"/>
  <c r="G38" i="40"/>
  <c r="R38" i="40" s="1"/>
  <c r="S37" i="40"/>
  <c r="G37" i="40"/>
  <c r="V36" i="40"/>
  <c r="W36" i="40" s="1"/>
  <c r="U36" i="40"/>
  <c r="T36" i="40"/>
  <c r="S36" i="40"/>
  <c r="Q36" i="40"/>
  <c r="P36" i="40"/>
  <c r="G36" i="40"/>
  <c r="R36" i="40" s="1"/>
  <c r="V35" i="40"/>
  <c r="X35" i="40" s="1"/>
  <c r="U35" i="40"/>
  <c r="T35" i="40"/>
  <c r="S35" i="40"/>
  <c r="P35" i="40"/>
  <c r="Q35" i="40" s="1"/>
  <c r="G35" i="40"/>
  <c r="L35" i="40" s="1"/>
  <c r="V24" i="40"/>
  <c r="Z24" i="40" s="1"/>
  <c r="Z25" i="40" s="1"/>
  <c r="T24" i="40"/>
  <c r="T25" i="40" s="1"/>
  <c r="G22" i="40"/>
  <c r="H22" i="40" s="1"/>
  <c r="H23" i="40" s="1"/>
  <c r="V20" i="40"/>
  <c r="V21" i="40" s="1"/>
  <c r="T20" i="40"/>
  <c r="T21" i="40" s="1"/>
  <c r="P20" i="40"/>
  <c r="P21" i="40" s="1"/>
  <c r="H20" i="40"/>
  <c r="I20" i="40" s="1"/>
  <c r="I21" i="40" s="1"/>
  <c r="G18" i="40"/>
  <c r="G19" i="40" s="1"/>
  <c r="AA16" i="40"/>
  <c r="AA17" i="40" s="1"/>
  <c r="V16" i="40"/>
  <c r="X16" i="40" s="1"/>
  <c r="X17" i="40" s="1"/>
  <c r="T16" i="40"/>
  <c r="T17" i="40" s="1"/>
  <c r="P16" i="40"/>
  <c r="P17" i="40" s="1"/>
  <c r="G16" i="40"/>
  <c r="R16" i="40" s="1"/>
  <c r="R17" i="40" s="1"/>
  <c r="V14" i="40"/>
  <c r="V15" i="40" s="1"/>
  <c r="T14" i="40"/>
  <c r="T15" i="40" s="1"/>
  <c r="P14" i="40"/>
  <c r="P15" i="40" s="1"/>
  <c r="G14" i="40"/>
  <c r="R14" i="40" s="1"/>
  <c r="R15" i="40" s="1"/>
  <c r="H40" i="40" l="1"/>
  <c r="W14" i="40"/>
  <c r="W15" i="40" s="1"/>
  <c r="H16" i="40"/>
  <c r="H17" i="40" s="1"/>
  <c r="W16" i="40"/>
  <c r="W17" i="40" s="1"/>
  <c r="L40" i="40"/>
  <c r="L14" i="40"/>
  <c r="L15" i="40" s="1"/>
  <c r="O20" i="40"/>
  <c r="O21" i="40" s="1"/>
  <c r="H21" i="40"/>
  <c r="X24" i="40"/>
  <c r="X25" i="40" s="1"/>
  <c r="V25" i="40"/>
  <c r="I40" i="40"/>
  <c r="H28" i="41"/>
  <c r="K42" i="41"/>
  <c r="H14" i="40"/>
  <c r="H15" i="40" s="1"/>
  <c r="L16" i="40"/>
  <c r="L17" i="40" s="1"/>
  <c r="G17" i="40"/>
  <c r="Y24" i="40"/>
  <c r="Y25" i="40" s="1"/>
  <c r="K45" i="41"/>
  <c r="I27" i="41"/>
  <c r="M36" i="40"/>
  <c r="I14" i="40"/>
  <c r="I15" i="40" s="1"/>
  <c r="Q14" i="40"/>
  <c r="Q15" i="40" s="1"/>
  <c r="G15" i="40"/>
  <c r="I16" i="40"/>
  <c r="I17" i="40" s="1"/>
  <c r="Q16" i="40"/>
  <c r="Q17" i="40" s="1"/>
  <c r="H36" i="40"/>
  <c r="L38" i="40"/>
  <c r="M40" i="40"/>
  <c r="H42" i="40"/>
  <c r="M14" i="40"/>
  <c r="M15" i="40" s="1"/>
  <c r="M16" i="40"/>
  <c r="M17" i="40" s="1"/>
  <c r="V17" i="40"/>
  <c r="W35" i="40"/>
  <c r="L36" i="40"/>
  <c r="X36" i="40"/>
  <c r="H38" i="40"/>
  <c r="L42" i="40"/>
  <c r="M42" i="40"/>
  <c r="I36" i="40"/>
  <c r="M38" i="40"/>
  <c r="I42" i="40"/>
  <c r="O18" i="40"/>
  <c r="O19" i="40" s="1"/>
  <c r="G23" i="40"/>
  <c r="K35" i="40"/>
  <c r="O35" i="40"/>
  <c r="Z14" i="40"/>
  <c r="Z15" i="40" s="1"/>
  <c r="J18" i="40"/>
  <c r="J19" i="40" s="1"/>
  <c r="J22" i="40"/>
  <c r="J23" i="40" s="1"/>
  <c r="J35" i="40"/>
  <c r="N35" i="40"/>
  <c r="R35" i="40"/>
  <c r="K14" i="40"/>
  <c r="K15" i="40" s="1"/>
  <c r="O14" i="40"/>
  <c r="O15" i="40" s="1"/>
  <c r="Y14" i="40"/>
  <c r="Y15" i="40" s="1"/>
  <c r="K16" i="40"/>
  <c r="K17" i="40" s="1"/>
  <c r="O16" i="40"/>
  <c r="O17" i="40" s="1"/>
  <c r="I18" i="40"/>
  <c r="I19" i="40" s="1"/>
  <c r="Q20" i="40"/>
  <c r="Q21" i="40" s="1"/>
  <c r="X20" i="40"/>
  <c r="X21" i="40" s="1"/>
  <c r="I22" i="40"/>
  <c r="I23" i="40" s="1"/>
  <c r="W24" i="40"/>
  <c r="W25" i="40" s="1"/>
  <c r="I35" i="40"/>
  <c r="M35" i="40"/>
  <c r="K36" i="40"/>
  <c r="O36" i="40"/>
  <c r="K38" i="40"/>
  <c r="O38" i="40"/>
  <c r="K40" i="40"/>
  <c r="O40" i="40"/>
  <c r="K42" i="40"/>
  <c r="O42" i="40"/>
  <c r="J14" i="40"/>
  <c r="J15" i="40" s="1"/>
  <c r="N14" i="40"/>
  <c r="N15" i="40" s="1"/>
  <c r="X14" i="40"/>
  <c r="X15" i="40" s="1"/>
  <c r="J16" i="40"/>
  <c r="J17" i="40" s="1"/>
  <c r="N16" i="40"/>
  <c r="N17" i="40" s="1"/>
  <c r="H18" i="40"/>
  <c r="H19" i="40" s="1"/>
  <c r="W20" i="40"/>
  <c r="W21" i="40" s="1"/>
  <c r="H35" i="40"/>
  <c r="J36" i="40"/>
  <c r="N36" i="40"/>
  <c r="J38" i="40"/>
  <c r="N38" i="40"/>
  <c r="J40" i="40"/>
  <c r="N40" i="40"/>
  <c r="J42" i="40"/>
  <c r="N42" i="40"/>
  <c r="H69" i="13"/>
  <c r="I69" i="13"/>
  <c r="J69" i="13"/>
  <c r="F62" i="14"/>
  <c r="G62" i="14"/>
  <c r="H23" i="16"/>
  <c r="I23" i="16"/>
  <c r="I24" i="16"/>
  <c r="H25" i="16"/>
  <c r="I26" i="16"/>
  <c r="H28" i="16"/>
  <c r="H29" i="16"/>
  <c r="H30" i="16"/>
  <c r="I30" i="16"/>
  <c r="H31" i="16"/>
  <c r="I31" i="16"/>
  <c r="H33" i="16"/>
  <c r="H34" i="16"/>
  <c r="I34" i="16"/>
  <c r="F16" i="14"/>
  <c r="G16" i="14"/>
  <c r="H16" i="14"/>
  <c r="H17" i="14"/>
  <c r="F18" i="14"/>
  <c r="G18" i="14"/>
  <c r="F20" i="14"/>
  <c r="G20" i="14"/>
  <c r="H20" i="14"/>
  <c r="H21" i="14"/>
  <c r="F22" i="14"/>
  <c r="G22" i="14"/>
  <c r="F26" i="14"/>
  <c r="G26" i="14"/>
  <c r="H26" i="14"/>
  <c r="H27" i="14"/>
  <c r="F28" i="14"/>
  <c r="G28" i="14"/>
  <c r="H28" i="14"/>
  <c r="H29" i="14"/>
  <c r="H31" i="14"/>
  <c r="F32" i="14"/>
  <c r="G32" i="14"/>
  <c r="H32" i="14"/>
  <c r="F33" i="14"/>
  <c r="G33" i="14"/>
  <c r="H33" i="14"/>
  <c r="F34" i="14"/>
  <c r="G34" i="14"/>
  <c r="H34" i="14"/>
  <c r="F35" i="14"/>
  <c r="H35" i="14"/>
  <c r="F36" i="14"/>
  <c r="G36" i="14"/>
  <c r="H36" i="14"/>
  <c r="F58" i="14"/>
  <c r="G58" i="14"/>
  <c r="F59" i="14"/>
  <c r="G60" i="14"/>
  <c r="G61" i="14"/>
  <c r="H14" i="13"/>
  <c r="J14" i="13"/>
  <c r="H16" i="13"/>
  <c r="I16" i="13"/>
  <c r="J16" i="13"/>
  <c r="H17" i="13"/>
  <c r="I17" i="13"/>
  <c r="J17" i="13"/>
  <c r="H18" i="13"/>
  <c r="I18" i="13"/>
  <c r="J28" i="13"/>
  <c r="H29" i="13"/>
  <c r="I29" i="13"/>
  <c r="J29" i="13"/>
  <c r="J30" i="13"/>
  <c r="H31" i="13"/>
  <c r="I31" i="13"/>
  <c r="J31" i="13"/>
  <c r="J32" i="13"/>
  <c r="J33" i="13"/>
  <c r="H34" i="13"/>
  <c r="I34" i="13"/>
  <c r="J34" i="13"/>
  <c r="J35" i="13"/>
  <c r="J36" i="13"/>
  <c r="J38" i="13"/>
  <c r="J39" i="13"/>
  <c r="J40" i="13"/>
  <c r="J41" i="13"/>
  <c r="H42" i="13"/>
  <c r="I42" i="13"/>
  <c r="J42" i="13"/>
  <c r="H43" i="13"/>
  <c r="I43" i="13"/>
  <c r="J43" i="13"/>
  <c r="J60" i="13"/>
  <c r="J61" i="13"/>
  <c r="J63" i="13"/>
  <c r="J64" i="13"/>
  <c r="H65" i="13"/>
  <c r="I65" i="13"/>
  <c r="J65" i="13"/>
  <c r="H66" i="13"/>
  <c r="J66" i="13"/>
  <c r="I67" i="13"/>
  <c r="J67" i="13"/>
  <c r="I68" i="13"/>
  <c r="J68" i="13"/>
</calcChain>
</file>

<file path=xl/comments1.xml><?xml version="1.0" encoding="utf-8"?>
<comments xmlns="http://schemas.openxmlformats.org/spreadsheetml/2006/main">
  <authors>
    <author>akalinichenko</author>
  </authors>
  <commentList>
    <comment ref="A14" authorId="0">
      <text/>
    </comment>
    <comment ref="A16" authorId="0">
      <text/>
    </comment>
    <comment ref="A18" authorId="0">
      <text/>
    </comment>
    <comment ref="A20" authorId="0">
      <text/>
    </comment>
    <comment ref="A22" authorId="0">
      <text/>
    </comment>
    <comment ref="A24" authorId="0">
      <text/>
    </comment>
    <comment ref="A35" authorId="0">
      <text/>
    </comment>
    <comment ref="A36" authorId="0">
      <text/>
    </comment>
    <comment ref="A37" authorId="0">
      <text/>
    </comment>
    <comment ref="A38" authorId="0">
      <text/>
    </comment>
    <comment ref="A39" authorId="0">
      <text/>
    </comment>
    <comment ref="A40" authorId="0">
      <text/>
    </comment>
    <comment ref="A41" authorId="0">
      <text/>
    </comment>
    <comment ref="A42" authorId="0">
      <text/>
    </comment>
    <comment ref="A43" authorId="0">
      <text/>
    </comment>
    <comment ref="A44" authorId="0">
      <text/>
    </comment>
    <comment ref="A45" authorId="0">
      <text/>
    </comment>
    <comment ref="A46" authorId="0">
      <text/>
    </comment>
    <comment ref="A47" authorId="0">
      <text/>
    </comment>
    <comment ref="A48" authorId="0">
      <text/>
    </comment>
  </commentList>
</comments>
</file>

<file path=xl/sharedStrings.xml><?xml version="1.0" encoding="utf-8"?>
<sst xmlns="http://schemas.openxmlformats.org/spreadsheetml/2006/main" count="990" uniqueCount="313">
  <si>
    <t>Сайдинг виниловый "АЛЬТА-ПРОФИЛЬ"</t>
  </si>
  <si>
    <t>Номенклатура</t>
  </si>
  <si>
    <t>Длина, м</t>
  </si>
  <si>
    <t>шт в упак</t>
  </si>
  <si>
    <t>до 30 000 руб</t>
  </si>
  <si>
    <t>до 50 000 руб</t>
  </si>
  <si>
    <t>от 50 000 руб</t>
  </si>
  <si>
    <t>3,66 х 0,23</t>
  </si>
  <si>
    <t>3,00 х 0,205</t>
  </si>
  <si>
    <t>3,1 х 0,226</t>
  </si>
  <si>
    <t>Доборные элементы</t>
  </si>
  <si>
    <t>Начальная планка</t>
  </si>
  <si>
    <t>Соединительная планка</t>
  </si>
  <si>
    <t>Околооконная планка 140мм</t>
  </si>
  <si>
    <t>Околооконная "широкая" планка 240мм</t>
  </si>
  <si>
    <t xml:space="preserve">Наличник </t>
  </si>
  <si>
    <t>Наружный угол</t>
  </si>
  <si>
    <t>Внутренний угол</t>
  </si>
  <si>
    <t>Финишная планка</t>
  </si>
  <si>
    <t>J-trim</t>
  </si>
  <si>
    <t xml:space="preserve">Доборные элементы «АЛЯСКА» </t>
  </si>
  <si>
    <t>Система крепления фасадов</t>
  </si>
  <si>
    <t>Профиль D 4,5  - «Альта-Сайдинг» и «Кanada Плюс»</t>
  </si>
  <si>
    <t>Профиль ВН-01 - Blockhouse однопереломный</t>
  </si>
  <si>
    <t>Профиль ВН-02 - Blockhouse двухпереломный</t>
  </si>
  <si>
    <t>Плоский профиль - планки к сайдингу</t>
  </si>
  <si>
    <t>Плоский профиль широкий (фасадные панели тип А)</t>
  </si>
  <si>
    <t>Плоский профиль широкий (фасадные панели тип В)</t>
  </si>
  <si>
    <t>Шпилька 138 мм - сайдинг с утеплителем</t>
  </si>
  <si>
    <t>Шпилька 53 мм - сайдинг без утеплителя</t>
  </si>
  <si>
    <t>Крепежная основа</t>
  </si>
  <si>
    <t>Дюбель-гриб 16см</t>
  </si>
  <si>
    <t>Дюбель-гриб 21см</t>
  </si>
  <si>
    <t xml:space="preserve">Гвоздь 150х6 оцинкованный, 1упак=5кг </t>
  </si>
  <si>
    <t>упак</t>
  </si>
  <si>
    <t xml:space="preserve">Гвоздь 200х6 оцинкованный, 1упак=5кг </t>
  </si>
  <si>
    <t>Угловой элемент металл. для обрешётки</t>
  </si>
  <si>
    <t>Софиты</t>
  </si>
  <si>
    <t>3,00 х 0,23</t>
  </si>
  <si>
    <t>J-фаска белая</t>
  </si>
  <si>
    <t>J-фаска коричневая</t>
  </si>
  <si>
    <t>J-trim коричневый</t>
  </si>
  <si>
    <t>Наружный угол коричневый</t>
  </si>
  <si>
    <t>Внутренний угол коричневый</t>
  </si>
  <si>
    <t>Соединительная планка коричневая</t>
  </si>
  <si>
    <t>Наша Компания рада предложить услуги по расчёту и монтажу выбранных Вами материалов.!!!</t>
  </si>
  <si>
    <t>Блокхаус виниловый "АЛЬТА-ПРОФИЛЬ"</t>
  </si>
  <si>
    <t>Прайс-лист № 7</t>
  </si>
  <si>
    <r>
      <t xml:space="preserve">Сайдинг </t>
    </r>
    <r>
      <rPr>
        <b/>
        <i/>
        <sz val="16"/>
        <rFont val="Arial Cyr"/>
        <family val="2"/>
        <charset val="204"/>
      </rPr>
      <t xml:space="preserve">«Blockhouse» 1,1мм </t>
    </r>
    <r>
      <rPr>
        <b/>
        <i/>
        <sz val="12"/>
        <rFont val="Arial Cyr"/>
        <family val="2"/>
        <charset val="204"/>
      </rPr>
      <t>акриловый</t>
    </r>
    <r>
      <rPr>
        <b/>
        <i/>
        <sz val="14"/>
        <rFont val="Arial Cyr"/>
        <family val="2"/>
        <charset val="204"/>
      </rPr>
      <t xml:space="preserve">                                                                                                           </t>
    </r>
  </si>
  <si>
    <t>уникальные панели, имитирующие натуральное оцилиндрованное бревно</t>
  </si>
  <si>
    <r>
      <t>«Blockhouse»</t>
    </r>
    <r>
      <rPr>
        <b/>
        <i/>
        <sz val="12"/>
        <rFont val="Arial Cyr"/>
        <family val="2"/>
        <charset val="204"/>
      </rPr>
      <t xml:space="preserve"> акриловый </t>
    </r>
    <r>
      <rPr>
        <b/>
        <i/>
        <sz val="10"/>
        <rFont val="Arial Cyr"/>
        <family val="2"/>
        <charset val="204"/>
      </rPr>
      <t>однопереломный</t>
    </r>
    <r>
      <rPr>
        <b/>
        <i/>
        <sz val="12"/>
        <rFont val="Arial Cyr"/>
        <family val="2"/>
        <charset val="204"/>
      </rPr>
      <t xml:space="preserve"> </t>
    </r>
    <r>
      <rPr>
        <b/>
        <i/>
        <sz val="8"/>
        <rFont val="Arial Cyr"/>
        <family val="2"/>
        <charset val="204"/>
      </rPr>
      <t xml:space="preserve">    </t>
    </r>
    <r>
      <rPr>
        <b/>
        <i/>
        <sz val="12"/>
        <rFont val="Arial Cyr"/>
        <family val="2"/>
        <charset val="204"/>
      </rPr>
      <t>Дуб светлый Красно-коричневый</t>
    </r>
  </si>
  <si>
    <t>3,1 х 0,2</t>
  </si>
  <si>
    <r>
      <t>«Blockhouse»</t>
    </r>
    <r>
      <rPr>
        <b/>
        <i/>
        <sz val="12"/>
        <rFont val="Arial Cyr"/>
        <family val="2"/>
        <charset val="204"/>
      </rPr>
      <t xml:space="preserve"> акриловый </t>
    </r>
    <r>
      <rPr>
        <b/>
        <i/>
        <sz val="10"/>
        <rFont val="Arial Cyr"/>
        <family val="2"/>
        <charset val="204"/>
      </rPr>
      <t>однопереломный</t>
    </r>
    <r>
      <rPr>
        <b/>
        <i/>
        <sz val="12"/>
        <rFont val="Arial Cyr"/>
        <family val="2"/>
        <charset val="204"/>
      </rPr>
      <t xml:space="preserve"> </t>
    </r>
    <r>
      <rPr>
        <b/>
        <i/>
        <sz val="8"/>
        <rFont val="Arial Cyr"/>
        <family val="2"/>
        <charset val="204"/>
      </rPr>
      <t xml:space="preserve">    </t>
    </r>
    <r>
      <rPr>
        <b/>
        <i/>
        <sz val="12"/>
        <rFont val="Arial Cyr"/>
        <family val="2"/>
        <charset val="204"/>
      </rPr>
      <t>Орех темный</t>
    </r>
  </si>
  <si>
    <r>
      <t xml:space="preserve">«Blockhouse» </t>
    </r>
    <r>
      <rPr>
        <b/>
        <i/>
        <sz val="12"/>
        <rFont val="Arial Cyr"/>
        <family val="2"/>
        <charset val="204"/>
      </rPr>
      <t xml:space="preserve">акриловый </t>
    </r>
    <r>
      <rPr>
        <b/>
        <i/>
        <sz val="10"/>
        <rFont val="Arial Cyr"/>
        <family val="2"/>
        <charset val="204"/>
      </rPr>
      <t>двухпереломный</t>
    </r>
    <r>
      <rPr>
        <b/>
        <i/>
        <sz val="12"/>
        <rFont val="Arial Cyr"/>
        <family val="2"/>
        <charset val="204"/>
      </rPr>
      <t xml:space="preserve"> </t>
    </r>
    <r>
      <rPr>
        <b/>
        <i/>
        <sz val="8"/>
        <rFont val="Arial Cyr"/>
        <family val="2"/>
        <charset val="204"/>
      </rPr>
      <t xml:space="preserve">    </t>
    </r>
    <r>
      <rPr>
        <b/>
        <i/>
        <sz val="12"/>
        <rFont val="Arial Cyr"/>
        <family val="2"/>
        <charset val="204"/>
      </rPr>
      <t>Дуб светлый Красно-коричневый</t>
    </r>
  </si>
  <si>
    <t>3,1 х 0,32</t>
  </si>
  <si>
    <r>
      <t xml:space="preserve">«Blockhouse» </t>
    </r>
    <r>
      <rPr>
        <b/>
        <i/>
        <sz val="12"/>
        <rFont val="Arial Cyr"/>
        <family val="2"/>
        <charset val="204"/>
      </rPr>
      <t xml:space="preserve">акриловый </t>
    </r>
    <r>
      <rPr>
        <b/>
        <i/>
        <sz val="10"/>
        <rFont val="Arial Cyr"/>
        <family val="2"/>
        <charset val="204"/>
      </rPr>
      <t>двухпереломный</t>
    </r>
    <r>
      <rPr>
        <b/>
        <i/>
        <sz val="12"/>
        <rFont val="Arial Cyr"/>
        <family val="2"/>
        <charset val="204"/>
      </rPr>
      <t xml:space="preserve"> </t>
    </r>
    <r>
      <rPr>
        <b/>
        <i/>
        <sz val="8"/>
        <rFont val="Arial Cyr"/>
        <family val="2"/>
        <charset val="204"/>
      </rPr>
      <t xml:space="preserve">    </t>
    </r>
    <r>
      <rPr>
        <b/>
        <i/>
        <sz val="12"/>
        <rFont val="Arial Cyr"/>
        <family val="2"/>
        <charset val="204"/>
      </rPr>
      <t>Орех темный</t>
    </r>
  </si>
  <si>
    <r>
      <t xml:space="preserve">Сайдинг </t>
    </r>
    <r>
      <rPr>
        <b/>
        <i/>
        <sz val="16"/>
        <rFont val="Arial Cyr"/>
        <family val="2"/>
        <charset val="204"/>
      </rPr>
      <t>«Blockhouse» 1,1мм</t>
    </r>
    <r>
      <rPr>
        <b/>
        <i/>
        <sz val="14"/>
        <rFont val="Arial Cyr"/>
        <family val="2"/>
        <charset val="204"/>
      </rPr>
      <t xml:space="preserve"> </t>
    </r>
    <r>
      <rPr>
        <b/>
        <i/>
        <sz val="12"/>
        <rFont val="Arial Cyr"/>
        <family val="2"/>
        <charset val="204"/>
      </rPr>
      <t>виниловый</t>
    </r>
    <r>
      <rPr>
        <b/>
        <i/>
        <sz val="14"/>
        <rFont val="Arial Cyr"/>
        <family val="2"/>
        <charset val="204"/>
      </rPr>
      <t xml:space="preserve">                                                                                                             </t>
    </r>
  </si>
  <si>
    <r>
      <t xml:space="preserve">«Blockhouse» </t>
    </r>
    <r>
      <rPr>
        <b/>
        <i/>
        <sz val="12"/>
        <rFont val="Arial Cyr"/>
        <family val="2"/>
        <charset val="204"/>
      </rPr>
      <t xml:space="preserve">виниловый </t>
    </r>
    <r>
      <rPr>
        <b/>
        <i/>
        <sz val="10"/>
        <rFont val="Arial Cyr"/>
        <family val="2"/>
        <charset val="204"/>
      </rPr>
      <t>однопереломный</t>
    </r>
    <r>
      <rPr>
        <b/>
        <i/>
        <sz val="12"/>
        <rFont val="Arial Cyr"/>
        <family val="2"/>
        <charset val="204"/>
      </rPr>
      <t xml:space="preserve"> </t>
    </r>
    <r>
      <rPr>
        <b/>
        <i/>
        <sz val="8"/>
        <rFont val="Arial Cyr"/>
        <family val="2"/>
        <charset val="204"/>
      </rPr>
      <t xml:space="preserve">  </t>
    </r>
    <r>
      <rPr>
        <b/>
        <i/>
        <sz val="11"/>
        <rFont val="Arial Cyr"/>
        <family val="2"/>
        <charset val="204"/>
      </rPr>
      <t xml:space="preserve">Золотистый Бежевый Темно-бежевый Персиковый </t>
    </r>
  </si>
  <si>
    <r>
      <t xml:space="preserve">«Blockhouse» </t>
    </r>
    <r>
      <rPr>
        <b/>
        <i/>
        <sz val="12"/>
        <rFont val="Arial Cyr"/>
        <family val="2"/>
        <charset val="204"/>
      </rPr>
      <t xml:space="preserve">виниловый </t>
    </r>
    <r>
      <rPr>
        <b/>
        <i/>
        <sz val="10"/>
        <rFont val="Arial Cyr"/>
        <family val="2"/>
        <charset val="204"/>
      </rPr>
      <t>двухпереломный</t>
    </r>
    <r>
      <rPr>
        <b/>
        <i/>
        <sz val="12"/>
        <rFont val="Arial Cyr"/>
        <family val="2"/>
        <charset val="204"/>
      </rPr>
      <t xml:space="preserve"> </t>
    </r>
    <r>
      <rPr>
        <b/>
        <i/>
        <sz val="8"/>
        <rFont val="Arial Cyr"/>
        <family val="2"/>
        <charset val="204"/>
      </rPr>
      <t xml:space="preserve">  </t>
    </r>
    <r>
      <rPr>
        <b/>
        <i/>
        <sz val="11"/>
        <rFont val="Arial Cyr"/>
        <family val="2"/>
        <charset val="204"/>
      </rPr>
      <t>Золотистый Бежевый Темно-бежевый Персиковый</t>
    </r>
  </si>
  <si>
    <t>Околооконная планка</t>
  </si>
  <si>
    <t>Стартовая планка</t>
  </si>
  <si>
    <t>Вспененный сайдинг «Альта-БОРД»</t>
  </si>
  <si>
    <t>Размер, мм</t>
  </si>
  <si>
    <t>Площадь</t>
  </si>
  <si>
    <t>до 100 000 руб</t>
  </si>
  <si>
    <t>от 100 000 руб</t>
  </si>
  <si>
    <r>
      <t xml:space="preserve">Основная панель   ВС-01 Стандарт </t>
    </r>
    <r>
      <rPr>
        <b/>
        <i/>
        <sz val="14"/>
        <rFont val="Arial"/>
        <family val="2"/>
        <charset val="204"/>
      </rPr>
      <t>бежевая, белая, желтая,кремовая</t>
    </r>
  </si>
  <si>
    <t>3000*180</t>
  </si>
  <si>
    <r>
      <t xml:space="preserve">Основная панель   ВС-01 Элит        </t>
    </r>
    <r>
      <rPr>
        <b/>
        <i/>
        <sz val="14"/>
        <rFont val="Arial"/>
        <family val="2"/>
        <charset val="204"/>
      </rPr>
      <t xml:space="preserve">зеленая, коричневая, красная, светло-коричневая, темно-бежевая </t>
    </r>
  </si>
  <si>
    <t>Доборные Элементы</t>
  </si>
  <si>
    <t>Профиль отделочный ВС-50</t>
  </si>
  <si>
    <t>Профиль отделочный ВС-100</t>
  </si>
  <si>
    <t>Профиль отделочный ВС-9,5</t>
  </si>
  <si>
    <t>Профиль отделочный ВС-52</t>
  </si>
  <si>
    <t>Составной угол "Альта-Декор"</t>
  </si>
  <si>
    <t>1036*243*20</t>
  </si>
  <si>
    <t>Отделочный элемент №1      Белоснежный, коричневый</t>
  </si>
  <si>
    <t>250*130</t>
  </si>
  <si>
    <t>Отделочный элемент №1      Белый</t>
  </si>
  <si>
    <t>Отделочный элемент №2      Белоснежный, коричневый</t>
  </si>
  <si>
    <t>250*250</t>
  </si>
  <si>
    <t>Отделочный элемент №2      Белый</t>
  </si>
  <si>
    <t>Отделочный элемент №3      Белоснежный, коричневый</t>
  </si>
  <si>
    <t>250*380</t>
  </si>
  <si>
    <t>Отделочный элемент №3      Белый</t>
  </si>
  <si>
    <t>Цена</t>
  </si>
  <si>
    <t xml:space="preserve">8-800-770-05-27 многоканальный номер, бесплатный по РФ </t>
  </si>
  <si>
    <t>г. Волгоград, ул. 25 лет Октября, 1Б, ВОСР на Тулака, тел. 8 961 058-73-03</t>
  </si>
  <si>
    <t>г. Волгоград, ул. Бахтурова, 12, СТРОЙМОЛЛ, тел. 8 961 059-39-45</t>
  </si>
  <si>
    <t>х. Госпитомник, ул. Придорожная, 1А, Тел. 8 961 059-72-14</t>
  </si>
  <si>
    <t>торговая сеть</t>
  </si>
  <si>
    <t xml:space="preserve">г. Волжский, ул. Пушкина, 43, рынок ЭКОНОМиЯ, тел. 8 961 058-84-97 </t>
  </si>
  <si>
    <t>bildj-v.ru</t>
  </si>
  <si>
    <t xml:space="preserve">Интернет-магазин (Волгоград) 8 961 058-77-58 </t>
  </si>
  <si>
    <t>bildj-shop.ru</t>
  </si>
  <si>
    <t>Интернет-магазин (Волжский) 8 961 058-77-87</t>
  </si>
  <si>
    <t>Наименование</t>
  </si>
  <si>
    <t>Ед. изм.</t>
  </si>
  <si>
    <t>Цена, руб</t>
  </si>
  <si>
    <t>шт</t>
  </si>
  <si>
    <t>Цена в рублях (включая НДС)</t>
  </si>
  <si>
    <t>Уважаемые покупатели!!!</t>
  </si>
  <si>
    <t>Выезд на замеры!!!</t>
  </si>
  <si>
    <t>Подробная информация в наших филиалах!!!</t>
  </si>
  <si>
    <t>м2</t>
  </si>
  <si>
    <t>Кол-во в упаковке</t>
  </si>
  <si>
    <t>-</t>
  </si>
  <si>
    <t>серый</t>
  </si>
  <si>
    <t>0,54 м2</t>
  </si>
  <si>
    <r>
      <t xml:space="preserve">Основная панель   ВС-01 Тимбер       </t>
    </r>
    <r>
      <rPr>
        <b/>
        <i/>
        <sz val="14"/>
        <rFont val="Arial"/>
        <family val="2"/>
        <charset val="204"/>
      </rPr>
      <t>вишня, дуб, кедр, клен,липа, мербау,пихта,сосна</t>
    </r>
  </si>
  <si>
    <r>
      <t xml:space="preserve">Основная панель   ВС-01Тимбер ПРО      </t>
    </r>
    <r>
      <rPr>
        <b/>
        <i/>
        <sz val="14"/>
        <rFont val="Arial"/>
        <family val="2"/>
        <charset val="204"/>
      </rPr>
      <t>акация, береза, груша, лиственница,платан, тик</t>
    </r>
  </si>
  <si>
    <t>Финишная планка коричневая</t>
  </si>
  <si>
    <r>
      <t xml:space="preserve"> Панель Карелия ВН-</t>
    </r>
    <r>
      <rPr>
        <b/>
        <i/>
        <sz val="18"/>
        <rFont val="Arial"/>
        <family val="2"/>
        <charset val="204"/>
      </rPr>
      <t>03</t>
    </r>
    <r>
      <rPr>
        <b/>
        <i/>
        <sz val="14"/>
        <rFont val="Arial"/>
        <family val="2"/>
        <charset val="204"/>
      </rPr>
      <t xml:space="preserve"> бук,каштан, ольха,орех,ясень</t>
    </r>
  </si>
  <si>
    <t>3000*226</t>
  </si>
  <si>
    <r>
      <t>Панель Карелия ВН-01</t>
    </r>
    <r>
      <rPr>
        <b/>
        <i/>
        <sz val="14"/>
        <rFont val="Arial"/>
        <family val="2"/>
        <charset val="204"/>
      </rPr>
      <t>бук,каштан, ольха,орех,ясень</t>
    </r>
  </si>
  <si>
    <t>3100*200</t>
  </si>
  <si>
    <t>3000*230</t>
  </si>
  <si>
    <t>0,69 м2</t>
  </si>
  <si>
    <t>0,62 м2</t>
  </si>
  <si>
    <t>0,678 м2</t>
  </si>
  <si>
    <t>Сайдинг «Карелия»</t>
  </si>
  <si>
    <r>
      <t xml:space="preserve">Панель Карелия D4.5  Т-01 </t>
    </r>
    <r>
      <rPr>
        <b/>
        <i/>
        <sz val="14"/>
        <rFont val="Arial"/>
        <family val="2"/>
        <charset val="204"/>
      </rPr>
      <t>бук,каштан, ольха,орех,ясень</t>
    </r>
  </si>
  <si>
    <t>Доборные элементы Карелия ВН</t>
  </si>
  <si>
    <t xml:space="preserve">  J-trim</t>
  </si>
  <si>
    <t>Доборные элементы Карелия D4.5</t>
  </si>
  <si>
    <t>Соединительная планка ВН</t>
  </si>
  <si>
    <t>Околооконная планка ВН</t>
  </si>
  <si>
    <t>Наружный угол ВН</t>
  </si>
  <si>
    <t>Внутренний угол ВН</t>
  </si>
  <si>
    <t>J-trim ВН</t>
  </si>
  <si>
    <t>Цена,руб</t>
  </si>
  <si>
    <t>не запустили производство</t>
  </si>
  <si>
    <t>Цвет</t>
  </si>
  <si>
    <t>лунный камень, яшма, песок</t>
  </si>
  <si>
    <t>жемчуг</t>
  </si>
  <si>
    <t>карамельный</t>
  </si>
  <si>
    <t>темный дуб</t>
  </si>
  <si>
    <t>Кол-во шт. в упаковке</t>
  </si>
  <si>
    <t>АКРИЛ</t>
  </si>
  <si>
    <t>белый</t>
  </si>
  <si>
    <t>бежевый</t>
  </si>
  <si>
    <t>ванильный</t>
  </si>
  <si>
    <t>Планка (наличник) наборная для составного угла 3,0</t>
  </si>
  <si>
    <t>Планка радиусная для составного угла 3,0</t>
  </si>
  <si>
    <t>коричневый</t>
  </si>
  <si>
    <t>50 50 44 многоканальный номер</t>
  </si>
  <si>
    <t>Волгоград, ул. 25 лет Октября, 1Б, ВОСР на Тулака, 8 (961) 058-73-03</t>
  </si>
  <si>
    <t>Волгоград, ул. Бахтурова, 12, СТРОЙМОЛЛ,  8 (961) 059-39-45</t>
  </si>
  <si>
    <t xml:space="preserve">Волжский, ул. Пушкина 43, рынок ЭКОНОМиЯ,  8 (961) 058-84-97 </t>
  </si>
  <si>
    <r>
      <t>Софит белый</t>
    </r>
    <r>
      <rPr>
        <b/>
        <sz val="10"/>
        <rFont val="Arial Cyr"/>
        <family val="2"/>
        <charset val="204"/>
      </rPr>
      <t xml:space="preserve"> (перфорированный, без перфорации)</t>
    </r>
  </si>
  <si>
    <r>
      <t>Софит коричневый</t>
    </r>
    <r>
      <rPr>
        <b/>
        <sz val="10"/>
        <rFont val="Arial Cyr"/>
        <family val="2"/>
        <charset val="204"/>
      </rPr>
      <t xml:space="preserve"> (перфорированный, без перфорации)</t>
    </r>
  </si>
  <si>
    <t xml:space="preserve"> Лимонный Кремовый Салатовый Серо-зеленый Светло-серый Белый Бежевый Розовый Серо-голубой Дымчатый</t>
  </si>
  <si>
    <t xml:space="preserve"> Грушёвый  Жёлтый  Золотистый  Земляничный  Персиковый  Фисташковый Тёмно-бежевый  </t>
  </si>
  <si>
    <t>Красный  Красно-коричневый Дуб светлый  Сиреневый  Оливковый  Гранатовый Зелёный  Хаки  Серебристый  Синий</t>
  </si>
  <si>
    <t>Виниловый сайдинг</t>
  </si>
  <si>
    <t xml:space="preserve">Орех темный   </t>
  </si>
  <si>
    <t>Акриловый сайдинг</t>
  </si>
  <si>
    <t xml:space="preserve">Ивори Сноу Сэнд Форест          </t>
  </si>
  <si>
    <t xml:space="preserve"> Браун Виолет Ред</t>
  </si>
  <si>
    <t xml:space="preserve"> Беж Блю Голд Грин</t>
  </si>
  <si>
    <t>Коллекция БЛОКХАУС BH-03"</t>
  </si>
  <si>
    <t>Бежевый Золотистый Персиковый</t>
  </si>
  <si>
    <t xml:space="preserve"> Красно-коричневый, Дуб свелый</t>
  </si>
  <si>
    <t xml:space="preserve">  Орех темный</t>
  </si>
  <si>
    <t>Виниловый сайдинг BH-03</t>
  </si>
  <si>
    <t>Акриловый сайдинг BH-03</t>
  </si>
  <si>
    <t>Штук в упаковке</t>
  </si>
  <si>
    <t xml:space="preserve">Коллекция АЛЬТА САЙДИНГ                                                                                                                                                                  </t>
  </si>
  <si>
    <t xml:space="preserve">Колекция KANADA плюс                                                                                                                                                        </t>
  </si>
  <si>
    <t xml:space="preserve">Коллекция  АЛЯСКА                                                                                                                                                                               </t>
  </si>
  <si>
    <t>Софит дуб золотистый (перфорированный, без перфорации)</t>
  </si>
  <si>
    <t>Софит белый (перфорированный, без перфорации)</t>
  </si>
  <si>
    <t>Софит коричневый (перфорированный, без перфорации)</t>
  </si>
  <si>
    <t>(1) распродажа до исчерпания складских остатков</t>
  </si>
  <si>
    <t xml:space="preserve">** Виниловые софиты упаковываются по 22 шт </t>
  </si>
  <si>
    <t>* Здесь и далее в таблице: БП - без перфорации, ЧП - частично перфоррированный, ПП - полностью перфорированный</t>
  </si>
  <si>
    <t>0,303 х  1,5</t>
  </si>
  <si>
    <t>0,303 х 3</t>
  </si>
  <si>
    <r>
      <t xml:space="preserve">Софит Т4 GL </t>
    </r>
    <r>
      <rPr>
        <b/>
        <sz val="11"/>
        <color indexed="8"/>
        <rFont val="Calibri"/>
        <family val="2"/>
        <charset val="204"/>
      </rPr>
      <t>Лайт</t>
    </r>
    <r>
      <rPr>
        <sz val="10"/>
        <rFont val="Arial Cyr"/>
        <family val="2"/>
        <charset val="204"/>
      </rPr>
      <t xml:space="preserve"> (ЧП) </t>
    </r>
    <r>
      <rPr>
        <sz val="11"/>
        <color indexed="10"/>
        <rFont val="Calibri"/>
        <family val="2"/>
        <charset val="204"/>
      </rPr>
      <t>(1)</t>
    </r>
  </si>
  <si>
    <t>0,229 х 3</t>
  </si>
  <si>
    <r>
      <t xml:space="preserve">Софит Т3 GL </t>
    </r>
    <r>
      <rPr>
        <b/>
        <sz val="11"/>
        <color indexed="8"/>
        <rFont val="Calibri"/>
        <family val="2"/>
        <charset val="204"/>
      </rPr>
      <t>Классика слим</t>
    </r>
    <r>
      <rPr>
        <sz val="10"/>
        <rFont val="Arial Cyr"/>
        <family val="2"/>
        <charset val="204"/>
      </rPr>
      <t xml:space="preserve"> (БП, ЧП, ПП) </t>
    </r>
    <r>
      <rPr>
        <sz val="11"/>
        <color indexed="10"/>
        <rFont val="Calibri"/>
        <family val="2"/>
        <charset val="204"/>
      </rPr>
      <t>(1)</t>
    </r>
  </si>
  <si>
    <t>темный дуб (АСА)</t>
  </si>
  <si>
    <r>
      <t xml:space="preserve">Софит Т4 GL </t>
    </r>
    <r>
      <rPr>
        <b/>
        <sz val="11"/>
        <color indexed="8"/>
        <rFont val="Calibri"/>
        <family val="2"/>
        <charset val="204"/>
      </rPr>
      <t>Классика</t>
    </r>
    <r>
      <rPr>
        <sz val="10"/>
        <rFont val="Arial Cyr"/>
        <family val="2"/>
        <charset val="204"/>
      </rPr>
      <t xml:space="preserve"> (ЧП)</t>
    </r>
  </si>
  <si>
    <r>
      <t xml:space="preserve">Софит Т4 GL </t>
    </r>
    <r>
      <rPr>
        <b/>
        <sz val="11"/>
        <color indexed="8"/>
        <rFont val="Calibri"/>
        <family val="2"/>
        <charset val="204"/>
      </rPr>
      <t>Классика</t>
    </r>
    <r>
      <rPr>
        <sz val="10"/>
        <rFont val="Arial Cyr"/>
        <family val="2"/>
        <charset val="204"/>
      </rPr>
      <t xml:space="preserve"> (БП, ЧП, ПП) </t>
    </r>
    <r>
      <rPr>
        <sz val="11"/>
        <color indexed="10"/>
        <rFont val="Calibri"/>
        <family val="2"/>
        <charset val="204"/>
      </rPr>
      <t>*</t>
    </r>
  </si>
  <si>
    <t>0,246 х 3</t>
  </si>
  <si>
    <r>
      <t xml:space="preserve">Premium софит GL </t>
    </r>
    <r>
      <rPr>
        <b/>
        <sz val="11"/>
        <color indexed="8"/>
        <rFont val="Calibri"/>
        <family val="2"/>
        <charset val="204"/>
      </rPr>
      <t>Estetic</t>
    </r>
    <r>
      <rPr>
        <sz val="10"/>
        <rFont val="Arial Cyr"/>
        <family val="2"/>
        <charset val="204"/>
      </rPr>
      <t xml:space="preserve"> (скрытая перфорация)</t>
    </r>
  </si>
  <si>
    <t>Цена, руб./кв.м</t>
  </si>
  <si>
    <t>Цена, руб./шт</t>
  </si>
  <si>
    <t>Размер, м</t>
  </si>
  <si>
    <t>цены действительны с</t>
  </si>
  <si>
    <t>Софит виниловый</t>
  </si>
  <si>
    <t>Сливная планка</t>
  </si>
  <si>
    <r>
      <t>Молдинг</t>
    </r>
    <r>
      <rPr>
        <b/>
        <sz val="10"/>
        <color indexed="10"/>
        <rFont val="Arial Cyr"/>
        <charset val="204"/>
      </rPr>
      <t xml:space="preserve"> </t>
    </r>
    <r>
      <rPr>
        <sz val="10"/>
        <color indexed="10"/>
        <rFont val="Arial Cyr"/>
        <charset val="204"/>
      </rPr>
      <t>(1)</t>
    </r>
  </si>
  <si>
    <t>J-профиль широкий (наличник)</t>
  </si>
  <si>
    <t>J-фаска (ветровая доска)</t>
  </si>
  <si>
    <r>
      <t xml:space="preserve">Угол наружный Slim </t>
    </r>
    <r>
      <rPr>
        <sz val="10"/>
        <color indexed="10"/>
        <rFont val="Arial Cyr"/>
        <charset val="204"/>
      </rPr>
      <t>(1)</t>
    </r>
  </si>
  <si>
    <t>Угол наружный</t>
  </si>
  <si>
    <r>
      <t xml:space="preserve">J-профиль Slim </t>
    </r>
    <r>
      <rPr>
        <sz val="10"/>
        <color indexed="10"/>
        <rFont val="Arial Cyr"/>
        <charset val="204"/>
      </rPr>
      <t>(1)</t>
    </r>
  </si>
  <si>
    <t xml:space="preserve">J-профиль </t>
  </si>
  <si>
    <t>Доборные элементы GL</t>
  </si>
  <si>
    <r>
      <t xml:space="preserve">канадский дуб </t>
    </r>
    <r>
      <rPr>
        <b/>
        <sz val="10"/>
        <color indexed="10"/>
        <rFont val="Arial Cyr"/>
        <charset val="204"/>
      </rPr>
      <t>Распродажа</t>
    </r>
  </si>
  <si>
    <t>кедр</t>
  </si>
  <si>
    <t>рябина</t>
  </si>
  <si>
    <t>ясень</t>
  </si>
  <si>
    <t>граб</t>
  </si>
  <si>
    <t>клен</t>
  </si>
  <si>
    <r>
      <t xml:space="preserve">светлый дуб </t>
    </r>
    <r>
      <rPr>
        <b/>
        <sz val="10"/>
        <color indexed="10"/>
        <rFont val="Arial Cyr"/>
        <charset val="204"/>
      </rPr>
      <t>Распродажа</t>
    </r>
  </si>
  <si>
    <r>
      <t xml:space="preserve">золотой песок
</t>
    </r>
    <r>
      <rPr>
        <b/>
        <sz val="10"/>
        <color indexed="10"/>
        <rFont val="Arial Cyr"/>
        <charset val="204"/>
      </rPr>
      <t>АКЦИЯ</t>
    </r>
  </si>
  <si>
    <t>темно-бежевый</t>
  </si>
  <si>
    <t>слоновая кость</t>
  </si>
  <si>
    <t>персиковый</t>
  </si>
  <si>
    <t>кремовый</t>
  </si>
  <si>
    <t>голубой</t>
  </si>
  <si>
    <t>салатовый</t>
  </si>
  <si>
    <t>ед. изм.</t>
  </si>
  <si>
    <t>Полезная площадь, кв.м</t>
  </si>
  <si>
    <t>Полезная ширина, м</t>
  </si>
  <si>
    <t>Премиум цвета</t>
  </si>
  <si>
    <t>Стандартные цвета</t>
  </si>
  <si>
    <t>TUNDRA</t>
  </si>
  <si>
    <t>КЛАССИКА</t>
  </si>
  <si>
    <t>Цена, руб./ед.изм.</t>
  </si>
  <si>
    <t>КОЛЛЕКЦИИ</t>
  </si>
  <si>
    <t>3.3. Доборные элементы GL</t>
  </si>
  <si>
    <t>кв.м.</t>
  </si>
  <si>
    <t>Natural-Брус S7 GL</t>
  </si>
  <si>
    <r>
      <t xml:space="preserve">Вертикальный S6,3 GL </t>
    </r>
    <r>
      <rPr>
        <b/>
        <sz val="11"/>
        <color indexed="10"/>
        <rFont val="Arial Cyr"/>
        <charset val="204"/>
      </rPr>
      <t>Распродажа</t>
    </r>
  </si>
  <si>
    <t xml:space="preserve">Блок-хаус D4,8 </t>
  </si>
  <si>
    <t>Корабельный брус D3,7 Лайт</t>
  </si>
  <si>
    <t>Корабельный брус D4 GL Slim</t>
  </si>
  <si>
    <t>Корабельный брус D4,4 GL</t>
  </si>
  <si>
    <t>Сайдинг-панели</t>
  </si>
  <si>
    <r>
      <t xml:space="preserve">кедр </t>
    </r>
    <r>
      <rPr>
        <b/>
        <sz val="10"/>
        <color indexed="10"/>
        <rFont val="Arial Cyr"/>
        <charset val="204"/>
      </rPr>
      <t>NEW</t>
    </r>
  </si>
  <si>
    <r>
      <t xml:space="preserve">рябина </t>
    </r>
    <r>
      <rPr>
        <b/>
        <sz val="10"/>
        <color indexed="10"/>
        <rFont val="Arial Cyr"/>
        <charset val="204"/>
      </rPr>
      <t>NEW</t>
    </r>
  </si>
  <si>
    <t xml:space="preserve">светлый дуб </t>
  </si>
  <si>
    <t>дата изменения страницы прайса:</t>
  </si>
  <si>
    <t xml:space="preserve">                               3.3. Виниловый, акриловый сайдинг</t>
  </si>
  <si>
    <t>Планка стартовая металлическая</t>
  </si>
  <si>
    <t>тёмный дуб</t>
  </si>
  <si>
    <t>Планка стартовая пластиковая</t>
  </si>
  <si>
    <t>белый, бежевый, ванильный</t>
  </si>
  <si>
    <t>Профиль универсальный J 7/8'' 3,00</t>
  </si>
  <si>
    <t>Планка приоконная широкая 7/8'' 3,0</t>
  </si>
  <si>
    <t>Цена руб./шт</t>
  </si>
  <si>
    <t>3.5. Доборные элементы к фасадным панелям Grand Line</t>
  </si>
  <si>
    <t>390 х 170</t>
  </si>
  <si>
    <t>415 х 170</t>
  </si>
  <si>
    <t>крупный камень</t>
  </si>
  <si>
    <t>390 х 120</t>
  </si>
  <si>
    <t>417 х 120</t>
  </si>
  <si>
    <t>состаренный кирпич</t>
  </si>
  <si>
    <t>410 х 120</t>
  </si>
  <si>
    <t>клинкерный кирпич</t>
  </si>
  <si>
    <t>Угол фасадной панели наружный</t>
  </si>
  <si>
    <t>982 х 383</t>
  </si>
  <si>
    <t>1102,5 х 417,4</t>
  </si>
  <si>
    <r>
      <t xml:space="preserve">Панель фасадная Grand Line
полипропиленовая
</t>
    </r>
    <r>
      <rPr>
        <b/>
        <sz val="10"/>
        <rFont val="Arial Cyr"/>
        <charset val="204"/>
      </rPr>
      <t xml:space="preserve">Крупный камень </t>
    </r>
    <r>
      <rPr>
        <b/>
        <sz val="10"/>
        <color indexed="10"/>
        <rFont val="Arial Cyr"/>
        <charset val="204"/>
      </rPr>
      <t>NEW</t>
    </r>
  </si>
  <si>
    <t>995 х 390</t>
  </si>
  <si>
    <t>1109 х 418</t>
  </si>
  <si>
    <r>
      <t xml:space="preserve">Панель фасадная Grand Line
полипропиленовая
</t>
    </r>
    <r>
      <rPr>
        <b/>
        <sz val="10"/>
        <rFont val="Arial Cyr"/>
        <charset val="204"/>
      </rPr>
      <t>Состаренный кирпич</t>
    </r>
  </si>
  <si>
    <t>968 х 390</t>
  </si>
  <si>
    <t>1105 х 417</t>
  </si>
  <si>
    <r>
      <t xml:space="preserve">Панель фасадная Grand Line
полипропиленовая
</t>
    </r>
    <r>
      <rPr>
        <b/>
        <sz val="10"/>
        <rFont val="Arial Cyr"/>
        <charset val="204"/>
      </rPr>
      <t>Клинкерный кирпич</t>
    </r>
  </si>
  <si>
    <t>Кол-во шт./упак.</t>
  </si>
  <si>
    <t>Рабочие размеры, мм</t>
  </si>
  <si>
    <t>Габаритные размеры, мм</t>
  </si>
  <si>
    <t xml:space="preserve">цены действительны с </t>
  </si>
  <si>
    <t>3.5. Полипропиленовые фасадные панели Grand Line</t>
  </si>
  <si>
    <t>Угол прямой GL Яфасад 3.0</t>
  </si>
  <si>
    <t>3.5. Декоративная система GL ЯФАСАД</t>
  </si>
  <si>
    <t>Для панелей ЯФАСАД в качестве доборных элементов используется декоративная система GL ЯФАСАД</t>
  </si>
  <si>
    <t>Расход 4 шт на 1,5 п.м. периметра дома</t>
  </si>
  <si>
    <t>Стартовый элемент для фасадной панели GL</t>
  </si>
  <si>
    <t>1475 х 306</t>
  </si>
  <si>
    <t>1495 х 339</t>
  </si>
  <si>
    <r>
      <t xml:space="preserve">Панель фасадная GL "ЯФАСАД" 
</t>
    </r>
    <r>
      <rPr>
        <b/>
        <sz val="10"/>
        <rFont val="Arial Cyr"/>
        <charset val="204"/>
      </rPr>
      <t>Демидовский кирпич</t>
    </r>
  </si>
  <si>
    <t>1322 х 294</t>
  </si>
  <si>
    <t>1407 х 327</t>
  </si>
  <si>
    <r>
      <t xml:space="preserve">Панель фасадная GL "ЯФАСАД" 
</t>
    </r>
    <r>
      <rPr>
        <b/>
        <sz val="10"/>
        <rFont val="Arial Cyr"/>
        <charset val="204"/>
      </rPr>
      <t>Екатерининский камень</t>
    </r>
  </si>
  <si>
    <t>1476 х 312</t>
  </si>
  <si>
    <t>1535 х 345</t>
  </si>
  <si>
    <r>
      <t xml:space="preserve">Панель фасадная GL "ЯФАСАД" 
</t>
    </r>
    <r>
      <rPr>
        <b/>
        <sz val="10"/>
        <rFont val="Arial Cyr"/>
        <charset val="204"/>
      </rPr>
      <t>Скала</t>
    </r>
  </si>
  <si>
    <t>янтарь</t>
  </si>
  <si>
    <t>1487 х 306</t>
  </si>
  <si>
    <t>1550 х 338</t>
  </si>
  <si>
    <r>
      <t xml:space="preserve">Панель фасадная GL "ЯФАСАД"
</t>
    </r>
    <r>
      <rPr>
        <b/>
        <sz val="10"/>
        <rFont val="Arial Cyr"/>
        <charset val="204"/>
      </rPr>
      <t>Крымский сланец</t>
    </r>
  </si>
  <si>
    <t>3.5. Фасадные панели GL "ЯФАСАД"</t>
  </si>
  <si>
    <t>Н-профиль соединительный</t>
  </si>
  <si>
    <t>Угол внутренний</t>
  </si>
  <si>
    <r>
      <t xml:space="preserve">Переходник вертикального сайдинга (оконтовочная планка) </t>
    </r>
    <r>
      <rPr>
        <sz val="10"/>
        <color indexed="10"/>
        <rFont val="Arial Cyr"/>
        <charset val="204"/>
      </rPr>
      <t>(1)</t>
    </r>
  </si>
  <si>
    <t>Описание</t>
  </si>
  <si>
    <t>Сопутствующие товары</t>
  </si>
  <si>
    <t>Цена, руб.</t>
  </si>
  <si>
    <t>Пробойник насечек SL5</t>
  </si>
  <si>
    <t>для нанесения насечек на край панели в месте соединения с доборными элементами (финишная планка, околооконная планка)</t>
  </si>
  <si>
    <t xml:space="preserve">Просекатель отверстий NHP1R </t>
  </si>
  <si>
    <t>для просечения овальных отверстий в виниловых панелях</t>
  </si>
  <si>
    <t>Инструмент для демонтажа сайдинга SRT2</t>
  </si>
  <si>
    <t>для демонтажа панелей винилового сайдинга без повреждения</t>
  </si>
  <si>
    <t>Вентиляционная решетка восьмиугольная 550мм Техоснастка</t>
  </si>
  <si>
    <t>фронтонная решётка для вентиляции чердачных помещений</t>
  </si>
  <si>
    <t>Отдушина вентиляционная с фиксированными жалюзи Mid-America</t>
  </si>
  <si>
    <t>обрамляют выходы устройств вентиляции помещений на фасадах</t>
  </si>
  <si>
    <r>
      <t xml:space="preserve">слоновая кость </t>
    </r>
    <r>
      <rPr>
        <b/>
        <sz val="10"/>
        <color indexed="10"/>
        <rFont val="Arial Cyr"/>
        <charset val="204"/>
      </rPr>
      <t>NEW</t>
    </r>
  </si>
  <si>
    <r>
      <t xml:space="preserve">янтарь, бронза, графит, железо, серебро, слоновая кость </t>
    </r>
    <r>
      <rPr>
        <b/>
        <sz val="10"/>
        <color indexed="10"/>
        <rFont val="Arial Cyr"/>
        <charset val="204"/>
      </rPr>
      <t>NEW</t>
    </r>
  </si>
  <si>
    <r>
      <t xml:space="preserve">янтарь, песок, бронза, красный, слоновая кость </t>
    </r>
    <r>
      <rPr>
        <b/>
        <sz val="10"/>
        <color indexed="10"/>
        <rFont val="Arial Cyr"/>
        <charset val="204"/>
      </rPr>
      <t>NEW</t>
    </r>
  </si>
  <si>
    <t>молочный, бежевый</t>
  </si>
  <si>
    <t>коричневый, терракотовый, песочный</t>
  </si>
  <si>
    <r>
      <t>коричневый, терракотовый</t>
    </r>
    <r>
      <rPr>
        <sz val="10"/>
        <rFont val="Arial Cyr"/>
        <charset val="204"/>
      </rPr>
      <t>, песочный</t>
    </r>
  </si>
  <si>
    <t>коричневый, песочный</t>
  </si>
  <si>
    <t>Цены действительны с 06,02,2019</t>
  </si>
  <si>
    <t>цены действительны с 06,02,2019</t>
  </si>
  <si>
    <t>Цена действительна с06,02,2019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</si>
</sst>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р_._-;\-* #,##0.00_р_._-;_-* &quot;-&quot;??_р_._-;_-@_-"/>
    <numFmt numFmtId="164" formatCode="_([$€]* #,##0.00_);_([$€]* \(#,##0.00\);_([$€]* \-??_);_(@_)"/>
    <numFmt numFmtId="165" formatCode="_(\$* #,##0.00_);_(\$* \(#,##0.00\);_(\$* \-??_);_(@_)"/>
    <numFmt numFmtId="166" formatCode="0.0"/>
    <numFmt numFmtId="167" formatCode="0.000"/>
    <numFmt numFmtId="168" formatCode="0.0000"/>
  </numFmts>
  <fonts count="73" x14ac:knownFonts="1"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177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6"/>
      <color indexed="12"/>
      <name val="Arial"/>
      <family val="2"/>
      <charset val="204"/>
    </font>
    <font>
      <u/>
      <sz val="11"/>
      <color indexed="1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1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b/>
      <i/>
      <sz val="10"/>
      <name val="Arial Cyr"/>
      <family val="2"/>
      <charset val="204"/>
    </font>
    <font>
      <b/>
      <i/>
      <sz val="12"/>
      <name val="Arial Cyr"/>
      <family val="2"/>
      <charset val="204"/>
    </font>
    <font>
      <b/>
      <i/>
      <sz val="11"/>
      <name val="Arial Cyr"/>
      <family val="2"/>
      <charset val="204"/>
    </font>
    <font>
      <sz val="8"/>
      <name val="Arial Cyr"/>
      <family val="2"/>
      <charset val="204"/>
    </font>
    <font>
      <b/>
      <i/>
      <sz val="14"/>
      <name val="Arial Cyr"/>
      <family val="2"/>
      <charset val="204"/>
    </font>
    <font>
      <b/>
      <i/>
      <sz val="24"/>
      <name val="Arial Cyr"/>
      <family val="2"/>
      <charset val="204"/>
    </font>
    <font>
      <b/>
      <i/>
      <sz val="16"/>
      <name val="Arial Cyr"/>
      <family val="2"/>
      <charset val="204"/>
    </font>
    <font>
      <b/>
      <i/>
      <sz val="20"/>
      <name val="Arial"/>
      <family val="2"/>
      <charset val="204"/>
    </font>
    <font>
      <b/>
      <i/>
      <sz val="18"/>
      <name val="Arial"/>
      <family val="2"/>
      <charset val="204"/>
    </font>
    <font>
      <b/>
      <i/>
      <sz val="16"/>
      <name val="Arial"/>
      <family val="2"/>
      <charset val="204"/>
    </font>
    <font>
      <b/>
      <i/>
      <sz val="8"/>
      <name val="Arial Cyr"/>
      <family val="2"/>
      <charset val="204"/>
    </font>
    <font>
      <b/>
      <i/>
      <sz val="22"/>
      <name val="Arial"/>
      <family val="2"/>
      <charset val="204"/>
    </font>
    <font>
      <b/>
      <i/>
      <sz val="13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1"/>
      <name val="Arial"/>
      <family val="2"/>
      <charset val="204"/>
    </font>
    <font>
      <sz val="7"/>
      <name val="Arial Cyr"/>
      <family val="2"/>
      <charset val="204"/>
    </font>
    <font>
      <sz val="16"/>
      <name val="Arial Cyr"/>
      <family val="2"/>
      <charset val="204"/>
    </font>
    <font>
      <b/>
      <i/>
      <sz val="9"/>
      <name val="Arial"/>
      <family val="2"/>
      <charset val="204"/>
    </font>
    <font>
      <b/>
      <i/>
      <sz val="26"/>
      <name val="Arial"/>
      <family val="2"/>
      <charset val="204"/>
    </font>
    <font>
      <b/>
      <sz val="16"/>
      <name val="Arial"/>
      <family val="2"/>
      <charset val="204"/>
    </font>
    <font>
      <b/>
      <sz val="16"/>
      <name val="Arial Cyr"/>
      <family val="2"/>
      <charset val="204"/>
    </font>
    <font>
      <sz val="10"/>
      <name val="Helv"/>
      <charset val="204"/>
    </font>
    <font>
      <sz val="10"/>
      <name val="Arial"/>
      <family val="2"/>
    </font>
    <font>
      <sz val="10"/>
      <name val="Arial Cyr"/>
      <charset val="204"/>
    </font>
    <font>
      <u/>
      <sz val="6"/>
      <color indexed="12"/>
      <name val="Arial"/>
      <family val="2"/>
    </font>
    <font>
      <sz val="11"/>
      <color indexed="8"/>
      <name val="Calibri"/>
      <family val="2"/>
    </font>
    <font>
      <sz val="10"/>
      <name val="Arial Cyr"/>
      <family val="2"/>
      <charset val="204"/>
    </font>
    <font>
      <b/>
      <sz val="12"/>
      <name val="Arial Cyr"/>
      <charset val="204"/>
    </font>
    <font>
      <b/>
      <sz val="10"/>
      <name val="Arial Cyr"/>
      <charset val="204"/>
    </font>
    <font>
      <b/>
      <sz val="18"/>
      <name val="Arial Cyr"/>
      <charset val="204"/>
    </font>
    <font>
      <b/>
      <sz val="12"/>
      <name val="Arial"/>
      <family val="2"/>
      <charset val="204"/>
    </font>
    <font>
      <b/>
      <sz val="20"/>
      <name val="Arial"/>
      <family val="2"/>
      <charset val="204"/>
    </font>
    <font>
      <b/>
      <sz val="8"/>
      <name val="Arial Cyr"/>
      <charset val="204"/>
    </font>
    <font>
      <b/>
      <sz val="11"/>
      <name val="Arial Cyr"/>
      <charset val="204"/>
    </font>
    <font>
      <b/>
      <sz val="10"/>
      <name val="Times New Roman"/>
      <family val="1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1"/>
      <name val="Arial Cyr"/>
      <family val="2"/>
      <charset val="204"/>
    </font>
    <font>
      <b/>
      <sz val="18"/>
      <name val="Arial Cyr"/>
      <family val="2"/>
      <charset val="204"/>
    </font>
    <font>
      <b/>
      <sz val="14"/>
      <name val="Arial Cyr"/>
      <family val="2"/>
      <charset val="204"/>
    </font>
    <font>
      <b/>
      <sz val="20"/>
      <name val="Arial Cyr"/>
      <family val="2"/>
      <charset val="204"/>
    </font>
    <font>
      <b/>
      <sz val="9"/>
      <name val="Arial"/>
      <family val="2"/>
      <charset val="204"/>
    </font>
    <font>
      <b/>
      <sz val="10"/>
      <color indexed="10"/>
      <name val="Arial Cyr"/>
      <charset val="204"/>
    </font>
    <font>
      <sz val="10"/>
      <color indexed="8"/>
      <name val="Arial"/>
      <family val="2"/>
      <charset val="204"/>
    </font>
    <font>
      <sz val="11"/>
      <color indexed="10"/>
      <name val="Calibri"/>
      <family val="2"/>
      <charset val="204"/>
    </font>
    <font>
      <b/>
      <sz val="10"/>
      <color indexed="8"/>
      <name val="Arial"/>
      <family val="2"/>
      <charset val="204"/>
    </font>
    <font>
      <b/>
      <sz val="14"/>
      <color indexed="10"/>
      <name val="Arial Cyr"/>
      <charset val="204"/>
    </font>
    <font>
      <sz val="10"/>
      <color indexed="8"/>
      <name val="Arial Cyr"/>
      <charset val="204"/>
    </font>
    <font>
      <sz val="11"/>
      <name val="Arial Cyr"/>
      <charset val="204"/>
    </font>
    <font>
      <sz val="10"/>
      <color indexed="10"/>
      <name val="Arial Cyr"/>
      <charset val="204"/>
    </font>
    <font>
      <b/>
      <sz val="11"/>
      <color indexed="10"/>
      <name val="Arial Cyr"/>
      <charset val="204"/>
    </font>
  </fonts>
  <fills count="53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31"/>
      </patternFill>
    </fill>
    <fill>
      <patternFill patternType="solid">
        <fgColor indexed="45"/>
        <bgColor indexed="29"/>
      </patternFill>
    </fill>
    <fill>
      <patternFill patternType="solid">
        <fgColor indexed="45"/>
      </patternFill>
    </fill>
    <fill>
      <patternFill patternType="solid">
        <fgColor indexed="42"/>
        <bgColor indexed="27"/>
      </patternFill>
    </fill>
    <fill>
      <patternFill patternType="solid">
        <fgColor indexed="42"/>
      </patternFill>
    </fill>
    <fill>
      <patternFill patternType="solid">
        <fgColor indexed="46"/>
        <bgColor indexed="24"/>
      </patternFill>
    </fill>
    <fill>
      <patternFill patternType="solid">
        <fgColor indexed="46"/>
      </patternFill>
    </fill>
    <fill>
      <patternFill patternType="solid">
        <fgColor indexed="27"/>
        <bgColor indexed="41"/>
      </patternFill>
    </fill>
    <fill>
      <patternFill patternType="solid">
        <f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44"/>
      </patternFill>
    </fill>
    <fill>
      <patternFill patternType="solid">
        <fgColor indexed="29"/>
        <bgColor indexed="45"/>
      </patternFill>
    </fill>
    <fill>
      <patternFill patternType="solid">
        <fgColor indexed="29"/>
      </patternFill>
    </fill>
    <fill>
      <patternFill patternType="solid">
        <fgColor indexed="11"/>
        <bgColor indexed="49"/>
      </patternFill>
    </fill>
    <fill>
      <patternFill patternType="solid">
        <fgColor indexed="11"/>
      </patternFill>
    </fill>
    <fill>
      <patternFill patternType="solid">
        <fgColor indexed="51"/>
        <bgColor indexed="13"/>
      </patternFill>
    </fill>
    <fill>
      <patternFill patternType="solid">
        <fgColor indexed="51"/>
      </patternFill>
    </fill>
    <fill>
      <patternFill patternType="solid">
        <fgColor indexed="30"/>
        <bgColor indexed="21"/>
      </patternFill>
    </fill>
    <fill>
      <patternFill patternType="solid">
        <fgColor indexed="30"/>
      </patternFill>
    </fill>
    <fill>
      <patternFill patternType="solid">
        <fgColor indexed="20"/>
        <bgColor indexed="36"/>
      </patternFill>
    </fill>
    <fill>
      <patternFill patternType="solid">
        <f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49"/>
      </patternFill>
    </fill>
    <fill>
      <patternFill patternType="solid">
        <fgColor indexed="52"/>
        <bgColor indexed="51"/>
      </patternFill>
    </fill>
    <fill>
      <patternFill patternType="solid">
        <fgColor indexed="52"/>
      </patternFill>
    </fill>
    <fill>
      <patternFill patternType="solid">
        <fgColor indexed="62"/>
        <bgColor indexed="56"/>
      </patternFill>
    </fill>
    <fill>
      <patternFill patternType="solid">
        <fgColor indexed="62"/>
      </patternFill>
    </fill>
    <fill>
      <patternFill patternType="solid">
        <fgColor indexed="10"/>
        <bgColor indexed="60"/>
      </patternFill>
    </fill>
    <fill>
      <patternFill patternType="solid">
        <fgColor indexed="10"/>
      </patternFill>
    </fill>
    <fill>
      <patternFill patternType="solid">
        <fgColor indexed="57"/>
        <bgColor indexed="21"/>
      </patternFill>
    </fill>
    <fill>
      <patternFill patternType="solid">
        <fgColor indexed="57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31"/>
      </patternFill>
    </fill>
    <fill>
      <patternFill patternType="solid">
        <fgColor indexed="22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13"/>
        <bgColor indexed="34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0C0C0"/>
        <bgColor indexed="31"/>
      </patternFill>
    </fill>
  </fills>
  <borders count="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/>
      <top style="medium">
        <color indexed="10"/>
      </top>
      <bottom/>
      <diagonal/>
    </border>
    <border>
      <left/>
      <right/>
      <top/>
      <bottom style="medium">
        <color indexed="10"/>
      </bottom>
      <diagonal/>
    </border>
    <border>
      <left style="thin">
        <color indexed="64"/>
      </left>
      <right style="thin">
        <color indexed="64"/>
      </right>
      <top style="medium">
        <color indexed="10"/>
      </top>
      <bottom/>
      <diagonal/>
    </border>
    <border>
      <left/>
      <right style="thin">
        <color indexed="64"/>
      </right>
      <top style="medium">
        <color indexed="10"/>
      </top>
      <bottom/>
      <diagonal/>
    </border>
    <border>
      <left style="thin">
        <color indexed="64"/>
      </left>
      <right/>
      <top style="medium">
        <color indexed="10"/>
      </top>
      <bottom/>
      <diagonal/>
    </border>
    <border>
      <left/>
      <right/>
      <top style="medium">
        <color indexed="10"/>
      </top>
      <bottom style="thin">
        <color indexed="64"/>
      </bottom>
      <diagonal/>
    </border>
  </borders>
  <cellStyleXfs count="1729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28" borderId="0" applyNumberFormat="0" applyBorder="0" applyAlignment="0" applyProtection="0"/>
    <xf numFmtId="164" fontId="48" fillId="0" borderId="0" applyFill="0" applyBorder="0" applyAlignment="0" applyProtection="0"/>
    <xf numFmtId="164" fontId="48" fillId="0" borderId="0" applyFill="0" applyBorder="0" applyAlignment="0" applyProtection="0"/>
    <xf numFmtId="164" fontId="48" fillId="0" borderId="0" applyFill="0" applyBorder="0" applyAlignment="0" applyProtection="0"/>
    <xf numFmtId="164" fontId="48" fillId="0" borderId="0" applyFill="0" applyBorder="0" applyAlignment="0" applyProtection="0"/>
    <xf numFmtId="164" fontId="48" fillId="0" borderId="0" applyFill="0" applyBorder="0" applyAlignment="0" applyProtection="0"/>
    <xf numFmtId="164" fontId="48" fillId="0" borderId="0" applyFill="0" applyBorder="0" applyAlignment="0" applyProtection="0"/>
    <xf numFmtId="164" fontId="48" fillId="0" borderId="0" applyFill="0" applyBorder="0" applyAlignment="0" applyProtection="0"/>
    <xf numFmtId="164" fontId="1" fillId="0" borderId="0" applyFill="0" applyBorder="0" applyAlignment="0" applyProtection="0"/>
    <xf numFmtId="164" fontId="48" fillId="0" borderId="0" applyFill="0" applyBorder="0" applyAlignment="0" applyProtection="0"/>
    <xf numFmtId="164" fontId="48" fillId="0" borderId="0" applyFill="0" applyBorder="0" applyAlignment="0" applyProtection="0"/>
    <xf numFmtId="164" fontId="48" fillId="0" borderId="0" applyFill="0" applyBorder="0" applyAlignment="0" applyProtection="0"/>
    <xf numFmtId="164" fontId="48" fillId="0" borderId="0" applyFill="0" applyBorder="0" applyAlignment="0" applyProtection="0"/>
    <xf numFmtId="164" fontId="48" fillId="0" borderId="0" applyFill="0" applyBorder="0" applyAlignment="0" applyProtection="0"/>
    <xf numFmtId="164" fontId="48" fillId="0" borderId="0" applyFill="0" applyBorder="0" applyAlignment="0" applyProtection="0"/>
    <xf numFmtId="164" fontId="48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5" fillId="12" borderId="1" applyNumberFormat="0" applyAlignment="0" applyProtection="0"/>
    <xf numFmtId="0" fontId="5" fillId="12" borderId="1" applyNumberFormat="0" applyAlignment="0" applyProtection="0"/>
    <xf numFmtId="0" fontId="5" fillId="12" borderId="1" applyNumberFormat="0" applyAlignment="0" applyProtection="0"/>
    <xf numFmtId="0" fontId="5" fillId="12" borderId="1" applyNumberFormat="0" applyAlignment="0" applyProtection="0"/>
    <xf numFmtId="0" fontId="5" fillId="12" borderId="1" applyNumberFormat="0" applyAlignment="0" applyProtection="0"/>
    <xf numFmtId="0" fontId="5" fillId="13" borderId="1" applyNumberFormat="0" applyAlignment="0" applyProtection="0"/>
    <xf numFmtId="0" fontId="5" fillId="12" borderId="1" applyNumberFormat="0" applyAlignment="0" applyProtection="0"/>
    <xf numFmtId="0" fontId="6" fillId="38" borderId="2" applyNumberFormat="0" applyAlignment="0" applyProtection="0"/>
    <xf numFmtId="0" fontId="6" fillId="38" borderId="2" applyNumberFormat="0" applyAlignment="0" applyProtection="0"/>
    <xf numFmtId="0" fontId="6" fillId="38" borderId="2" applyNumberFormat="0" applyAlignment="0" applyProtection="0"/>
    <xf numFmtId="0" fontId="6" fillId="38" borderId="2" applyNumberFormat="0" applyAlignment="0" applyProtection="0"/>
    <xf numFmtId="0" fontId="6" fillId="38" borderId="2" applyNumberFormat="0" applyAlignment="0" applyProtection="0"/>
    <xf numFmtId="0" fontId="6" fillId="39" borderId="2" applyNumberFormat="0" applyAlignment="0" applyProtection="0"/>
    <xf numFmtId="0" fontId="6" fillId="38" borderId="2" applyNumberFormat="0" applyAlignment="0" applyProtection="0"/>
    <xf numFmtId="0" fontId="7" fillId="38" borderId="1" applyNumberFormat="0" applyAlignment="0" applyProtection="0"/>
    <xf numFmtId="0" fontId="7" fillId="38" borderId="1" applyNumberFormat="0" applyAlignment="0" applyProtection="0"/>
    <xf numFmtId="0" fontId="7" fillId="38" borderId="1" applyNumberFormat="0" applyAlignment="0" applyProtection="0"/>
    <xf numFmtId="0" fontId="7" fillId="38" borderId="1" applyNumberFormat="0" applyAlignment="0" applyProtection="0"/>
    <xf numFmtId="0" fontId="7" fillId="38" borderId="1" applyNumberFormat="0" applyAlignment="0" applyProtection="0"/>
    <xf numFmtId="0" fontId="7" fillId="39" borderId="1" applyNumberFormat="0" applyAlignment="0" applyProtection="0"/>
    <xf numFmtId="0" fontId="7" fillId="38" borderId="1" applyNumberFormat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65" fontId="1" fillId="0" borderId="0" applyFill="0" applyBorder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Protection="0">
      <alignment horizontal="left"/>
    </xf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4" fillId="0" borderId="0" applyNumberFormat="0" applyFill="0" applyBorder="0" applyProtection="0">
      <alignment horizontal="left"/>
    </xf>
    <xf numFmtId="0" fontId="16" fillId="40" borderId="7" applyNumberFormat="0" applyAlignment="0" applyProtection="0"/>
    <xf numFmtId="0" fontId="16" fillId="40" borderId="7" applyNumberFormat="0" applyAlignment="0" applyProtection="0"/>
    <xf numFmtId="0" fontId="16" fillId="40" borderId="7" applyNumberFormat="0" applyAlignment="0" applyProtection="0"/>
    <xf numFmtId="0" fontId="16" fillId="40" borderId="7" applyNumberFormat="0" applyAlignment="0" applyProtection="0"/>
    <xf numFmtId="0" fontId="16" fillId="40" borderId="7" applyNumberFormat="0" applyAlignment="0" applyProtection="0"/>
    <xf numFmtId="0" fontId="16" fillId="41" borderId="7" applyNumberFormat="0" applyAlignment="0" applyProtection="0"/>
    <xf numFmtId="0" fontId="16" fillId="40" borderId="7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3" borderId="0" applyNumberFormat="0" applyBorder="0" applyAlignment="0" applyProtection="0"/>
    <xf numFmtId="0" fontId="19" fillId="4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4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4" fillId="0" borderId="0"/>
    <xf numFmtId="0" fontId="1" fillId="0" borderId="0"/>
    <xf numFmtId="0" fontId="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4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</cellStyleXfs>
  <cellXfs count="463">
    <xf numFmtId="0" fontId="0" fillId="0" borderId="0" xfId="0"/>
    <xf numFmtId="0" fontId="21" fillId="0" borderId="0" xfId="1624" applyFont="1" applyAlignment="1"/>
    <xf numFmtId="0" fontId="22" fillId="0" borderId="0" xfId="1624" applyFont="1" applyAlignment="1"/>
    <xf numFmtId="0" fontId="22" fillId="0" borderId="0" xfId="1624" applyFont="1" applyAlignment="1">
      <alignment horizontal="left"/>
    </xf>
    <xf numFmtId="0" fontId="21" fillId="0" borderId="0" xfId="1624" applyFont="1" applyFill="1" applyBorder="1" applyAlignment="1"/>
    <xf numFmtId="0" fontId="22" fillId="0" borderId="0" xfId="1624" applyFont="1" applyFill="1" applyBorder="1" applyAlignment="1">
      <alignment horizontal="left"/>
    </xf>
    <xf numFmtId="0" fontId="21" fillId="0" borderId="9" xfId="1624" applyFont="1" applyBorder="1" applyAlignment="1">
      <alignment horizontal="center" vertical="center"/>
    </xf>
    <xf numFmtId="0" fontId="0" fillId="0" borderId="0" xfId="1624" applyFont="1" applyAlignment="1"/>
    <xf numFmtId="0" fontId="22" fillId="0" borderId="0" xfId="1624" applyFont="1" applyAlignment="1">
      <alignment horizontal="center"/>
    </xf>
    <xf numFmtId="0" fontId="21" fillId="0" borderId="10" xfId="1624" applyFont="1" applyBorder="1" applyAlignment="1">
      <alignment horizontal="center" vertical="center"/>
    </xf>
    <xf numFmtId="0" fontId="21" fillId="0" borderId="9" xfId="1624" applyFont="1" applyBorder="1" applyAlignment="1">
      <alignment horizontal="center"/>
    </xf>
    <xf numFmtId="0" fontId="23" fillId="0" borderId="9" xfId="1624" applyFont="1" applyBorder="1" applyAlignment="1">
      <alignment horizontal="center"/>
    </xf>
    <xf numFmtId="0" fontId="24" fillId="0" borderId="0" xfId="1624" applyFont="1"/>
    <xf numFmtId="0" fontId="22" fillId="0" borderId="9" xfId="1624" applyFont="1" applyBorder="1" applyAlignment="1">
      <alignment horizontal="center" vertical="center"/>
    </xf>
    <xf numFmtId="0" fontId="22" fillId="0" borderId="9" xfId="1624" applyFont="1" applyBorder="1" applyAlignment="1">
      <alignment horizontal="center"/>
    </xf>
    <xf numFmtId="0" fontId="25" fillId="0" borderId="10" xfId="1624" applyFont="1" applyBorder="1" applyAlignment="1">
      <alignment horizontal="center" vertical="center" wrapText="1"/>
    </xf>
    <xf numFmtId="0" fontId="23" fillId="0" borderId="10" xfId="1624" applyFont="1" applyBorder="1" applyAlignment="1">
      <alignment horizontal="center" vertical="center" wrapText="1"/>
    </xf>
    <xf numFmtId="0" fontId="21" fillId="44" borderId="12" xfId="1624" applyFont="1" applyFill="1" applyBorder="1" applyAlignment="1">
      <alignment horizontal="center" vertical="center" wrapText="1"/>
    </xf>
    <xf numFmtId="0" fontId="0" fillId="0" borderId="0" xfId="1624" applyFont="1" applyBorder="1" applyAlignment="1">
      <alignment horizontal="center" vertical="center" wrapText="1"/>
    </xf>
    <xf numFmtId="0" fontId="0" fillId="0" borderId="13" xfId="1624" applyFont="1" applyBorder="1" applyAlignment="1">
      <alignment horizontal="center" vertical="center" wrapText="1"/>
    </xf>
    <xf numFmtId="0" fontId="0" fillId="0" borderId="9" xfId="1624" applyFont="1" applyBorder="1" applyAlignment="1">
      <alignment horizontal="center" vertical="center" wrapText="1"/>
    </xf>
    <xf numFmtId="0" fontId="0" fillId="0" borderId="9" xfId="1624" applyFont="1" applyFill="1" applyBorder="1" applyAlignment="1">
      <alignment horizontal="center" vertical="center" wrapText="1"/>
    </xf>
    <xf numFmtId="0" fontId="23" fillId="0" borderId="9" xfId="1624" applyFont="1" applyBorder="1" applyAlignment="1">
      <alignment horizontal="center" vertical="center"/>
    </xf>
    <xf numFmtId="0" fontId="23" fillId="0" borderId="9" xfId="1624" applyFont="1" applyBorder="1"/>
    <xf numFmtId="0" fontId="39" fillId="0" borderId="9" xfId="1624" applyFont="1" applyFill="1" applyBorder="1" applyAlignment="1">
      <alignment vertical="top" wrapText="1"/>
    </xf>
    <xf numFmtId="0" fontId="39" fillId="0" borderId="9" xfId="1624" applyFont="1" applyFill="1" applyBorder="1" applyAlignment="1">
      <alignment horizontal="justify" vertical="top" wrapText="1"/>
    </xf>
    <xf numFmtId="0" fontId="23" fillId="0" borderId="9" xfId="1624" applyFont="1" applyFill="1" applyBorder="1" applyAlignment="1">
      <alignment vertical="center" wrapText="1"/>
    </xf>
    <xf numFmtId="2" fontId="21" fillId="0" borderId="9" xfId="1624" applyNumberFormat="1" applyFont="1" applyBorder="1" applyAlignment="1">
      <alignment horizontal="center" vertical="center"/>
    </xf>
    <xf numFmtId="0" fontId="22" fillId="0" borderId="11" xfId="1624" applyFont="1" applyBorder="1" applyAlignment="1">
      <alignment horizontal="center" vertical="center"/>
    </xf>
    <xf numFmtId="1" fontId="22" fillId="0" borderId="11" xfId="1624" applyNumberFormat="1" applyFont="1" applyBorder="1" applyAlignment="1">
      <alignment horizontal="center" vertical="center"/>
    </xf>
    <xf numFmtId="0" fontId="23" fillId="0" borderId="10" xfId="1624" applyFont="1" applyBorder="1" applyAlignment="1">
      <alignment horizontal="center" vertical="center"/>
    </xf>
    <xf numFmtId="0" fontId="22" fillId="0" borderId="10" xfId="1624" applyFont="1" applyBorder="1" applyAlignment="1">
      <alignment horizontal="center" vertical="center"/>
    </xf>
    <xf numFmtId="0" fontId="21" fillId="0" borderId="9" xfId="1624" applyFont="1" applyBorder="1"/>
    <xf numFmtId="0" fontId="0" fillId="44" borderId="0" xfId="1624" applyFont="1" applyFill="1"/>
    <xf numFmtId="1" fontId="0" fillId="0" borderId="0" xfId="1624" applyNumberFormat="1" applyFont="1"/>
    <xf numFmtId="166" fontId="25" fillId="0" borderId="9" xfId="1624" applyNumberFormat="1" applyFont="1" applyBorder="1" applyAlignment="1">
      <alignment horizontal="center" vertical="center"/>
    </xf>
    <xf numFmtId="166" fontId="25" fillId="0" borderId="0" xfId="1624" applyNumberFormat="1" applyFont="1" applyBorder="1" applyAlignment="1">
      <alignment horizontal="center" vertical="center"/>
    </xf>
    <xf numFmtId="166" fontId="25" fillId="0" borderId="10" xfId="1624" applyNumberFormat="1" applyFont="1" applyBorder="1" applyAlignment="1">
      <alignment horizontal="center" vertical="center"/>
    </xf>
    <xf numFmtId="1" fontId="22" fillId="0" borderId="9" xfId="1624" applyNumberFormat="1" applyFont="1" applyBorder="1" applyAlignment="1">
      <alignment horizontal="center" vertical="center"/>
    </xf>
    <xf numFmtId="0" fontId="22" fillId="0" borderId="11" xfId="1624" applyFont="1" applyBorder="1" applyAlignment="1">
      <alignment horizontal="center"/>
    </xf>
    <xf numFmtId="1" fontId="22" fillId="0" borderId="9" xfId="1624" applyNumberFormat="1" applyFont="1" applyBorder="1" applyAlignment="1">
      <alignment horizontal="center"/>
    </xf>
    <xf numFmtId="1" fontId="0" fillId="0" borderId="9" xfId="1624" applyNumberFormat="1" applyFont="1" applyBorder="1"/>
    <xf numFmtId="0" fontId="21" fillId="0" borderId="0" xfId="1624" applyFont="1" applyFill="1" applyBorder="1"/>
    <xf numFmtId="0" fontId="1" fillId="0" borderId="0" xfId="1269"/>
    <xf numFmtId="0" fontId="25" fillId="0" borderId="0" xfId="1624" applyFont="1" applyAlignment="1"/>
    <xf numFmtId="0" fontId="21" fillId="0" borderId="0" xfId="1269" applyFont="1" applyBorder="1" applyAlignment="1">
      <alignment horizontal="left"/>
    </xf>
    <xf numFmtId="0" fontId="25" fillId="0" borderId="0" xfId="1624" applyFont="1" applyAlignment="1">
      <alignment horizontal="left"/>
    </xf>
    <xf numFmtId="0" fontId="25" fillId="0" borderId="0" xfId="1624" applyFont="1" applyFill="1" applyBorder="1" applyAlignment="1">
      <alignment horizontal="left"/>
    </xf>
    <xf numFmtId="0" fontId="21" fillId="0" borderId="0" xfId="1269" applyFont="1" applyFill="1" applyBorder="1" applyAlignment="1">
      <alignment horizontal="left"/>
    </xf>
    <xf numFmtId="0" fontId="32" fillId="0" borderId="0" xfId="1269" applyFont="1" applyAlignment="1">
      <alignment horizontal="center" vertical="center" wrapText="1"/>
    </xf>
    <xf numFmtId="0" fontId="14" fillId="0" borderId="0" xfId="1269" applyFont="1" applyAlignment="1">
      <alignment horizontal="left" vertical="center" wrapText="1"/>
    </xf>
    <xf numFmtId="0" fontId="14" fillId="0" borderId="0" xfId="1269" applyFont="1" applyBorder="1" applyAlignment="1">
      <alignment horizontal="left" vertical="center" wrapText="1"/>
    </xf>
    <xf numFmtId="0" fontId="33" fillId="0" borderId="9" xfId="1269" applyFont="1" applyBorder="1" applyAlignment="1">
      <alignment horizontal="center" vertical="center" wrapText="1"/>
    </xf>
    <xf numFmtId="0" fontId="33" fillId="0" borderId="0" xfId="1269" applyFont="1" applyAlignment="1">
      <alignment horizontal="center" vertical="center"/>
    </xf>
    <xf numFmtId="0" fontId="28" fillId="0" borderId="9" xfId="1269" applyFont="1" applyBorder="1" applyAlignment="1">
      <alignment horizontal="center" vertical="center" wrapText="1"/>
    </xf>
    <xf numFmtId="0" fontId="35" fillId="0" borderId="11" xfId="1269" applyFont="1" applyBorder="1" applyAlignment="1">
      <alignment horizontal="center" vertical="center" wrapText="1"/>
    </xf>
    <xf numFmtId="0" fontId="30" fillId="0" borderId="9" xfId="1269" applyFont="1" applyBorder="1" applyAlignment="1">
      <alignment horizontal="center" vertical="center"/>
    </xf>
    <xf numFmtId="0" fontId="40" fillId="0" borderId="16" xfId="1269" applyFont="1" applyBorder="1" applyAlignment="1">
      <alignment horizontal="center" vertical="center" wrapText="1"/>
    </xf>
    <xf numFmtId="1" fontId="40" fillId="0" borderId="11" xfId="1269" applyNumberFormat="1" applyFont="1" applyBorder="1" applyAlignment="1">
      <alignment horizontal="center" vertical="center" wrapText="1"/>
    </xf>
    <xf numFmtId="0" fontId="28" fillId="0" borderId="8" xfId="1269" applyFont="1" applyBorder="1" applyAlignment="1">
      <alignment horizontal="center" vertical="center" wrapText="1"/>
    </xf>
    <xf numFmtId="0" fontId="35" fillId="0" borderId="17" xfId="1269" applyFont="1" applyBorder="1" applyAlignment="1">
      <alignment horizontal="center" vertical="center" wrapText="1"/>
    </xf>
    <xf numFmtId="0" fontId="35" fillId="0" borderId="10" xfId="1269" applyFont="1" applyBorder="1" applyAlignment="1">
      <alignment horizontal="center" vertical="center" wrapText="1"/>
    </xf>
    <xf numFmtId="0" fontId="34" fillId="0" borderId="9" xfId="1269" applyFont="1" applyBorder="1" applyAlignment="1">
      <alignment horizontal="center" vertical="center" wrapText="1"/>
    </xf>
    <xf numFmtId="1" fontId="28" fillId="0" borderId="18" xfId="1269" applyNumberFormat="1" applyFont="1" applyBorder="1" applyAlignment="1">
      <alignment horizontal="center" vertical="center" wrapText="1"/>
    </xf>
    <xf numFmtId="1" fontId="28" fillId="0" borderId="9" xfId="1269" applyNumberFormat="1" applyFont="1" applyBorder="1" applyAlignment="1">
      <alignment horizontal="center" vertical="center" wrapText="1"/>
    </xf>
    <xf numFmtId="0" fontId="35" fillId="0" borderId="9" xfId="1269" applyFont="1" applyBorder="1" applyAlignment="1">
      <alignment horizontal="center" vertical="center" wrapText="1"/>
    </xf>
    <xf numFmtId="0" fontId="34" fillId="0" borderId="11" xfId="1269" applyFont="1" applyBorder="1" applyAlignment="1">
      <alignment horizontal="center" vertical="center" wrapText="1"/>
    </xf>
    <xf numFmtId="1" fontId="28" fillId="0" borderId="8" xfId="1269" applyNumberFormat="1" applyFont="1" applyBorder="1" applyAlignment="1">
      <alignment horizontal="center" vertical="center" wrapText="1"/>
    </xf>
    <xf numFmtId="0" fontId="34" fillId="0" borderId="10" xfId="1269" applyFont="1" applyBorder="1" applyAlignment="1">
      <alignment horizontal="center" vertical="center" wrapText="1"/>
    </xf>
    <xf numFmtId="0" fontId="28" fillId="0" borderId="17" xfId="1269" applyFont="1" applyBorder="1" applyAlignment="1">
      <alignment horizontal="center" vertical="center" wrapText="1"/>
    </xf>
    <xf numFmtId="0" fontId="30" fillId="0" borderId="9" xfId="1269" applyFont="1" applyBorder="1" applyAlignment="1">
      <alignment horizontal="center" vertical="center" wrapText="1"/>
    </xf>
    <xf numFmtId="0" fontId="36" fillId="0" borderId="9" xfId="1269" applyFont="1" applyBorder="1" applyAlignment="1">
      <alignment horizontal="center" vertical="center" wrapText="1"/>
    </xf>
    <xf numFmtId="0" fontId="1" fillId="0" borderId="9" xfId="1269" applyBorder="1" applyAlignment="1">
      <alignment horizontal="center" vertical="center" wrapText="1"/>
    </xf>
    <xf numFmtId="0" fontId="21" fillId="0" borderId="20" xfId="1624" applyFont="1" applyBorder="1" applyAlignment="1">
      <alignment horizontal="center" vertical="center"/>
    </xf>
    <xf numFmtId="0" fontId="21" fillId="0" borderId="10" xfId="1624" applyFont="1" applyBorder="1"/>
    <xf numFmtId="2" fontId="21" fillId="0" borderId="10" xfId="1624" applyNumberFormat="1" applyFont="1" applyBorder="1" applyAlignment="1">
      <alignment horizontal="center" vertical="center"/>
    </xf>
    <xf numFmtId="2" fontId="21" fillId="0" borderId="20" xfId="1624" applyNumberFormat="1" applyFont="1" applyBorder="1" applyAlignment="1">
      <alignment horizontal="center" vertical="center"/>
    </xf>
    <xf numFmtId="0" fontId="23" fillId="0" borderId="20" xfId="1624" applyFont="1" applyBorder="1" applyAlignment="1">
      <alignment horizontal="center" vertical="center"/>
    </xf>
    <xf numFmtId="0" fontId="23" fillId="0" borderId="29" xfId="1624" applyFont="1" applyFill="1" applyBorder="1" applyAlignment="1">
      <alignment horizontal="center"/>
    </xf>
    <xf numFmtId="0" fontId="23" fillId="0" borderId="29" xfId="1624" applyFont="1" applyBorder="1" applyAlignment="1">
      <alignment horizontal="center"/>
    </xf>
    <xf numFmtId="0" fontId="23" fillId="0" borderId="16" xfId="1624" applyFont="1" applyBorder="1" applyAlignment="1">
      <alignment horizontal="center"/>
    </xf>
    <xf numFmtId="167" fontId="23" fillId="45" borderId="19" xfId="1624" applyNumberFormat="1" applyFont="1" applyFill="1" applyBorder="1" applyAlignment="1">
      <alignment horizontal="center" vertical="center"/>
    </xf>
    <xf numFmtId="1" fontId="23" fillId="45" borderId="30" xfId="1624" applyNumberFormat="1" applyFont="1" applyFill="1" applyBorder="1" applyAlignment="1">
      <alignment horizontal="center" vertical="center"/>
    </xf>
    <xf numFmtId="1" fontId="23" fillId="45" borderId="31" xfId="1624" applyNumberFormat="1" applyFont="1" applyFill="1" applyBorder="1" applyAlignment="1">
      <alignment horizontal="center" vertical="center"/>
    </xf>
    <xf numFmtId="1" fontId="23" fillId="45" borderId="32" xfId="1624" applyNumberFormat="1" applyFont="1" applyFill="1" applyBorder="1" applyAlignment="1">
      <alignment horizontal="center" vertical="center"/>
    </xf>
    <xf numFmtId="167" fontId="23" fillId="0" borderId="19" xfId="1624" applyNumberFormat="1" applyFont="1" applyFill="1" applyBorder="1" applyAlignment="1">
      <alignment horizontal="center" vertical="center"/>
    </xf>
    <xf numFmtId="1" fontId="23" fillId="0" borderId="21" xfId="1624" applyNumberFormat="1" applyFont="1" applyFill="1" applyBorder="1" applyAlignment="1">
      <alignment horizontal="center" vertical="center"/>
    </xf>
    <xf numFmtId="1" fontId="23" fillId="0" borderId="33" xfId="1624" applyNumberFormat="1" applyFont="1" applyFill="1" applyBorder="1" applyAlignment="1">
      <alignment horizontal="center" vertical="center"/>
    </xf>
    <xf numFmtId="0" fontId="21" fillId="0" borderId="32" xfId="1624" applyFont="1" applyBorder="1" applyAlignment="1">
      <alignment horizontal="center"/>
    </xf>
    <xf numFmtId="1" fontId="22" fillId="0" borderId="10" xfId="1624" applyNumberFormat="1" applyFont="1" applyBorder="1" applyAlignment="1">
      <alignment horizontal="center"/>
    </xf>
    <xf numFmtId="0" fontId="21" fillId="0" borderId="23" xfId="1624" applyFont="1" applyBorder="1"/>
    <xf numFmtId="1" fontId="22" fillId="0" borderId="25" xfId="1624" applyNumberFormat="1" applyFont="1" applyBorder="1" applyAlignment="1">
      <alignment horizontal="center"/>
    </xf>
    <xf numFmtId="0" fontId="22" fillId="0" borderId="20" xfId="1624" applyFont="1" applyBorder="1" applyAlignment="1">
      <alignment horizontal="center" vertical="center"/>
    </xf>
    <xf numFmtId="1" fontId="22" fillId="0" borderId="20" xfId="1624" applyNumberFormat="1" applyFont="1" applyBorder="1" applyAlignment="1">
      <alignment horizontal="center"/>
    </xf>
    <xf numFmtId="0" fontId="1" fillId="0" borderId="20" xfId="1269" applyBorder="1"/>
    <xf numFmtId="0" fontId="52" fillId="0" borderId="20" xfId="1269" applyFont="1" applyBorder="1"/>
    <xf numFmtId="0" fontId="1" fillId="0" borderId="24" xfId="1269" applyBorder="1"/>
    <xf numFmtId="0" fontId="52" fillId="0" borderId="20" xfId="1269" applyFont="1" applyBorder="1" applyAlignment="1">
      <alignment horizontal="center"/>
    </xf>
    <xf numFmtId="0" fontId="52" fillId="0" borderId="20" xfId="1269" applyFont="1" applyBorder="1" applyAlignment="1">
      <alignment horizontal="left"/>
    </xf>
    <xf numFmtId="0" fontId="35" fillId="0" borderId="10" xfId="1269" applyFont="1" applyBorder="1" applyAlignment="1">
      <alignment horizontal="left" vertical="center" wrapText="1"/>
    </xf>
    <xf numFmtId="0" fontId="35" fillId="0" borderId="9" xfId="1269" applyFont="1" applyBorder="1" applyAlignment="1">
      <alignment horizontal="left" vertical="center" wrapText="1"/>
    </xf>
    <xf numFmtId="0" fontId="35" fillId="0" borderId="17" xfId="1269" applyFont="1" applyBorder="1" applyAlignment="1">
      <alignment horizontal="left" vertical="center" wrapText="1"/>
    </xf>
    <xf numFmtId="0" fontId="53" fillId="0" borderId="20" xfId="1269" applyFont="1" applyBorder="1" applyAlignment="1">
      <alignment horizontal="center"/>
    </xf>
    <xf numFmtId="0" fontId="34" fillId="0" borderId="15" xfId="1269" applyFont="1" applyBorder="1" applyAlignment="1">
      <alignment horizontal="center" vertical="center" wrapText="1"/>
    </xf>
    <xf numFmtId="1" fontId="28" fillId="0" borderId="20" xfId="1269" applyNumberFormat="1" applyFont="1" applyBorder="1" applyAlignment="1">
      <alignment horizontal="center" vertical="center" wrapText="1"/>
    </xf>
    <xf numFmtId="0" fontId="34" fillId="0" borderId="8" xfId="1269" applyFont="1" applyBorder="1" applyAlignment="1">
      <alignment horizontal="center" vertical="center" wrapText="1"/>
    </xf>
    <xf numFmtId="0" fontId="34" fillId="0" borderId="17" xfId="1269" applyFont="1" applyBorder="1" applyAlignment="1">
      <alignment horizontal="center" vertical="center" wrapText="1"/>
    </xf>
    <xf numFmtId="0" fontId="28" fillId="0" borderId="20" xfId="1269" applyFont="1" applyBorder="1" applyAlignment="1">
      <alignment horizontal="center" vertical="center" wrapText="1"/>
    </xf>
    <xf numFmtId="0" fontId="45" fillId="0" borderId="0" xfId="0" applyFont="1"/>
    <xf numFmtId="0" fontId="50" fillId="0" borderId="0" xfId="1616" applyFont="1" applyAlignment="1"/>
    <xf numFmtId="0" fontId="50" fillId="0" borderId="0" xfId="1616" applyFont="1"/>
    <xf numFmtId="0" fontId="56" fillId="46" borderId="0" xfId="1616" applyFont="1" applyFill="1"/>
    <xf numFmtId="0" fontId="56" fillId="46" borderId="0" xfId="1616" applyFont="1" applyFill="1" applyAlignment="1">
      <alignment horizontal="center"/>
    </xf>
    <xf numFmtId="0" fontId="49" fillId="0" borderId="0" xfId="1624" applyFont="1" applyAlignment="1"/>
    <xf numFmtId="0" fontId="49" fillId="0" borderId="0" xfId="1624" applyFont="1" applyAlignment="1">
      <alignment horizontal="left"/>
    </xf>
    <xf numFmtId="0" fontId="49" fillId="0" borderId="0" xfId="1624" applyFont="1" applyFill="1" applyBorder="1" applyAlignment="1">
      <alignment horizontal="left"/>
    </xf>
    <xf numFmtId="0" fontId="51" fillId="0" borderId="0" xfId="1624" applyFont="1" applyAlignment="1"/>
    <xf numFmtId="0" fontId="58" fillId="0" borderId="10" xfId="1624" applyFont="1" applyBorder="1" applyAlignment="1">
      <alignment horizontal="center" vertical="center"/>
    </xf>
    <xf numFmtId="0" fontId="59" fillId="0" borderId="11" xfId="1624" applyFont="1" applyBorder="1" applyAlignment="1">
      <alignment horizontal="center" vertical="center"/>
    </xf>
    <xf numFmtId="1" fontId="62" fillId="0" borderId="11" xfId="1624" applyNumberFormat="1" applyFont="1" applyBorder="1" applyAlignment="1">
      <alignment horizontal="center" vertical="center"/>
    </xf>
    <xf numFmtId="1" fontId="62" fillId="0" borderId="15" xfId="1624" applyNumberFormat="1" applyFont="1" applyBorder="1" applyAlignment="1">
      <alignment horizontal="center" vertical="center"/>
    </xf>
    <xf numFmtId="1" fontId="62" fillId="0" borderId="8" xfId="1624" applyNumberFormat="1" applyFont="1" applyBorder="1" applyAlignment="1">
      <alignment horizontal="center" vertical="center"/>
    </xf>
    <xf numFmtId="0" fontId="59" fillId="0" borderId="9" xfId="1624" applyFont="1" applyBorder="1" applyAlignment="1">
      <alignment horizontal="center" vertical="center"/>
    </xf>
    <xf numFmtId="2" fontId="58" fillId="0" borderId="9" xfId="1624" applyNumberFormat="1" applyFont="1" applyBorder="1" applyAlignment="1">
      <alignment horizontal="center" vertical="center"/>
    </xf>
    <xf numFmtId="0" fontId="58" fillId="0" borderId="9" xfId="1624" applyFont="1" applyBorder="1" applyAlignment="1">
      <alignment horizontal="center" vertical="center"/>
    </xf>
    <xf numFmtId="0" fontId="57" fillId="0" borderId="11" xfId="1624" applyFont="1" applyBorder="1" applyAlignment="1">
      <alignment horizontal="center" vertical="center"/>
    </xf>
    <xf numFmtId="1" fontId="57" fillId="0" borderId="11" xfId="1624" applyNumberFormat="1" applyFont="1" applyBorder="1" applyAlignment="1">
      <alignment horizontal="center" vertical="center"/>
    </xf>
    <xf numFmtId="1" fontId="57" fillId="0" borderId="15" xfId="1624" applyNumberFormat="1" applyFont="1" applyBorder="1" applyAlignment="1">
      <alignment horizontal="center" vertical="center"/>
    </xf>
    <xf numFmtId="0" fontId="59" fillId="0" borderId="10" xfId="1624" applyFont="1" applyBorder="1" applyAlignment="1">
      <alignment horizontal="center" vertical="center"/>
    </xf>
    <xf numFmtId="0" fontId="57" fillId="0" borderId="10" xfId="1624" applyFont="1" applyBorder="1" applyAlignment="1">
      <alignment horizontal="center" vertical="center"/>
    </xf>
    <xf numFmtId="0" fontId="57" fillId="0" borderId="9" xfId="1624" applyFont="1" applyBorder="1" applyAlignment="1">
      <alignment horizontal="center" vertical="center"/>
    </xf>
    <xf numFmtId="2" fontId="58" fillId="0" borderId="10" xfId="1624" applyNumberFormat="1" applyFont="1" applyBorder="1" applyAlignment="1">
      <alignment horizontal="center" vertical="center"/>
    </xf>
    <xf numFmtId="1" fontId="57" fillId="0" borderId="14" xfId="1624" applyNumberFormat="1" applyFont="1" applyBorder="1" applyAlignment="1">
      <alignment horizontal="center" vertical="center"/>
    </xf>
    <xf numFmtId="1" fontId="57" fillId="0" borderId="12" xfId="1624" applyNumberFormat="1" applyFont="1" applyBorder="1" applyAlignment="1">
      <alignment horizontal="center" vertical="center"/>
    </xf>
    <xf numFmtId="2" fontId="58" fillId="0" borderId="20" xfId="1624" applyNumberFormat="1" applyFont="1" applyBorder="1" applyAlignment="1">
      <alignment horizontal="center" vertical="center"/>
    </xf>
    <xf numFmtId="0" fontId="58" fillId="0" borderId="20" xfId="1624" applyFont="1" applyBorder="1" applyAlignment="1">
      <alignment horizontal="center" vertical="center"/>
    </xf>
    <xf numFmtId="0" fontId="59" fillId="0" borderId="20" xfId="1624" applyFont="1" applyBorder="1" applyAlignment="1">
      <alignment horizontal="center" vertical="center"/>
    </xf>
    <xf numFmtId="0" fontId="57" fillId="0" borderId="20" xfId="1624" applyFont="1" applyBorder="1" applyAlignment="1">
      <alignment horizontal="center" vertical="center"/>
    </xf>
    <xf numFmtId="1" fontId="57" fillId="0" borderId="20" xfId="1624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57" fillId="0" borderId="0" xfId="1624" applyFont="1" applyAlignment="1">
      <alignment horizontal="center" vertical="center"/>
    </xf>
    <xf numFmtId="0" fontId="58" fillId="0" borderId="0" xfId="1624" applyFont="1" applyAlignment="1">
      <alignment horizontal="center" vertical="center"/>
    </xf>
    <xf numFmtId="0" fontId="48" fillId="0" borderId="0" xfId="1624" applyFont="1" applyAlignment="1">
      <alignment horizontal="center" vertical="center"/>
    </xf>
    <xf numFmtId="0" fontId="57" fillId="0" borderId="0" xfId="1624" applyFont="1" applyFill="1" applyBorder="1" applyAlignment="1">
      <alignment horizontal="center" vertical="center"/>
    </xf>
    <xf numFmtId="0" fontId="58" fillId="0" borderId="0" xfId="1624" applyFont="1" applyFill="1" applyBorder="1" applyAlignment="1">
      <alignment horizontal="center" vertical="center"/>
    </xf>
    <xf numFmtId="0" fontId="59" fillId="0" borderId="0" xfId="1624" applyFont="1" applyAlignment="1">
      <alignment horizontal="center" vertical="center"/>
    </xf>
    <xf numFmtId="1" fontId="38" fillId="0" borderId="8" xfId="1624" applyNumberFormat="1" applyFont="1" applyBorder="1" applyAlignment="1">
      <alignment horizontal="center" vertical="center"/>
    </xf>
    <xf numFmtId="0" fontId="48" fillId="0" borderId="12" xfId="1624" applyFont="1" applyBorder="1" applyAlignment="1">
      <alignment horizontal="center" vertical="center"/>
    </xf>
    <xf numFmtId="1" fontId="38" fillId="0" borderId="12" xfId="1624" applyNumberFormat="1" applyFont="1" applyBorder="1" applyAlignment="1">
      <alignment horizontal="center" vertical="center"/>
    </xf>
    <xf numFmtId="0" fontId="57" fillId="0" borderId="11" xfId="1624" applyFont="1" applyFill="1" applyBorder="1" applyAlignment="1">
      <alignment horizontal="center" vertical="center"/>
    </xf>
    <xf numFmtId="1" fontId="57" fillId="0" borderId="9" xfId="1624" applyNumberFormat="1" applyFont="1" applyFill="1" applyBorder="1" applyAlignment="1">
      <alignment horizontal="center" vertical="center"/>
    </xf>
    <xf numFmtId="1" fontId="57" fillId="0" borderId="8" xfId="1624" applyNumberFormat="1" applyFont="1" applyFill="1" applyBorder="1" applyAlignment="1">
      <alignment horizontal="center" vertical="center"/>
    </xf>
    <xf numFmtId="0" fontId="63" fillId="0" borderId="9" xfId="1624" applyFont="1" applyFill="1" applyBorder="1" applyAlignment="1">
      <alignment horizontal="center" vertical="center" wrapText="1"/>
    </xf>
    <xf numFmtId="0" fontId="59" fillId="0" borderId="9" xfId="1624" applyFont="1" applyFill="1" applyBorder="1" applyAlignment="1">
      <alignment horizontal="center" vertical="center" wrapText="1"/>
    </xf>
    <xf numFmtId="1" fontId="38" fillId="0" borderId="0" xfId="1624" applyNumberFormat="1" applyFont="1" applyBorder="1" applyAlignment="1">
      <alignment horizontal="center" vertical="center"/>
    </xf>
    <xf numFmtId="0" fontId="48" fillId="0" borderId="0" xfId="1624" applyFont="1" applyBorder="1" applyAlignment="1">
      <alignment horizontal="center" vertical="center"/>
    </xf>
    <xf numFmtId="0" fontId="48" fillId="44" borderId="0" xfId="1624" applyFont="1" applyFill="1" applyAlignment="1">
      <alignment horizontal="center" vertical="center"/>
    </xf>
    <xf numFmtId="0" fontId="24" fillId="0" borderId="0" xfId="1624" applyFont="1" applyAlignment="1">
      <alignment horizontal="center" vertical="center"/>
    </xf>
    <xf numFmtId="0" fontId="59" fillId="0" borderId="20" xfId="1624" applyFont="1" applyBorder="1" applyAlignment="1">
      <alignment horizontal="center" vertical="center" wrapText="1"/>
    </xf>
    <xf numFmtId="0" fontId="63" fillId="0" borderId="19" xfId="1624" applyFont="1" applyFill="1" applyBorder="1" applyAlignment="1">
      <alignment horizontal="center" vertical="center" wrapText="1"/>
    </xf>
    <xf numFmtId="0" fontId="58" fillId="0" borderId="20" xfId="1624" applyFont="1" applyBorder="1" applyAlignment="1">
      <alignment horizontal="center" vertical="center" wrapText="1"/>
    </xf>
    <xf numFmtId="0" fontId="58" fillId="0" borderId="10" xfId="1624" applyFont="1" applyBorder="1" applyAlignment="1">
      <alignment horizontal="center" vertical="center" wrapText="1"/>
    </xf>
    <xf numFmtId="1" fontId="38" fillId="0" borderId="19" xfId="1624" applyNumberFormat="1" applyFont="1" applyBorder="1" applyAlignment="1">
      <alignment horizontal="center" vertical="center"/>
    </xf>
    <xf numFmtId="1" fontId="62" fillId="0" borderId="20" xfId="1624" applyNumberFormat="1" applyFont="1" applyBorder="1" applyAlignment="1">
      <alignment horizontal="center" vertical="center"/>
    </xf>
    <xf numFmtId="0" fontId="60" fillId="0" borderId="10" xfId="1624" applyFont="1" applyBorder="1" applyAlignment="1">
      <alignment horizontal="left" vertical="center" wrapText="1"/>
    </xf>
    <xf numFmtId="0" fontId="60" fillId="0" borderId="20" xfId="1624" applyFont="1" applyBorder="1" applyAlignment="1">
      <alignment horizontal="left" vertical="center" wrapText="1"/>
    </xf>
    <xf numFmtId="0" fontId="60" fillId="0" borderId="9" xfId="1624" applyFont="1" applyBorder="1" applyAlignment="1">
      <alignment horizontal="left" vertical="center" wrapText="1"/>
    </xf>
    <xf numFmtId="0" fontId="58" fillId="0" borderId="17" xfId="1624" applyFont="1" applyBorder="1" applyAlignment="1">
      <alignment horizontal="center" vertical="center" wrapText="1"/>
    </xf>
    <xf numFmtId="0" fontId="59" fillId="0" borderId="17" xfId="1624" applyFont="1" applyBorder="1" applyAlignment="1">
      <alignment horizontal="center" vertical="center"/>
    </xf>
    <xf numFmtId="0" fontId="59" fillId="0" borderId="14" xfId="1624" applyFont="1" applyBorder="1" applyAlignment="1">
      <alignment horizontal="center" vertical="center"/>
    </xf>
    <xf numFmtId="1" fontId="62" fillId="0" borderId="19" xfId="1624" applyNumberFormat="1" applyFont="1" applyBorder="1" applyAlignment="1">
      <alignment horizontal="center" vertical="center"/>
    </xf>
    <xf numFmtId="0" fontId="59" fillId="0" borderId="9" xfId="1624" applyFont="1" applyBorder="1" applyAlignment="1">
      <alignment horizontal="left" vertical="center"/>
    </xf>
    <xf numFmtId="0" fontId="59" fillId="0" borderId="20" xfId="1624" applyFont="1" applyBorder="1" applyAlignment="1">
      <alignment horizontal="center" vertical="center"/>
    </xf>
    <xf numFmtId="0" fontId="23" fillId="0" borderId="10" xfId="1624" applyFont="1" applyBorder="1" applyAlignment="1">
      <alignment horizontal="center" vertical="center"/>
    </xf>
    <xf numFmtId="0" fontId="21" fillId="0" borderId="10" xfId="1624" applyFont="1" applyBorder="1" applyAlignment="1">
      <alignment horizontal="center" vertical="center"/>
    </xf>
    <xf numFmtId="0" fontId="59" fillId="0" borderId="29" xfId="1624" applyFont="1" applyFill="1" applyBorder="1" applyAlignment="1">
      <alignment horizontal="center" vertical="center"/>
    </xf>
    <xf numFmtId="0" fontId="59" fillId="0" borderId="29" xfId="1624" applyFont="1" applyBorder="1" applyAlignment="1">
      <alignment horizontal="center" vertical="center"/>
    </xf>
    <xf numFmtId="1" fontId="59" fillId="0" borderId="34" xfId="1624" applyNumberFormat="1" applyFont="1" applyFill="1" applyBorder="1" applyAlignment="1">
      <alignment horizontal="center" vertical="center"/>
    </xf>
    <xf numFmtId="1" fontId="59" fillId="0" borderId="40" xfId="1624" applyNumberFormat="1" applyFont="1" applyFill="1" applyBorder="1" applyAlignment="1">
      <alignment horizontal="center" vertical="center"/>
    </xf>
    <xf numFmtId="0" fontId="58" fillId="0" borderId="37" xfId="1624" applyFont="1" applyBorder="1" applyAlignment="1">
      <alignment horizontal="center" vertical="center"/>
    </xf>
    <xf numFmtId="167" fontId="59" fillId="45" borderId="30" xfId="1624" applyNumberFormat="1" applyFont="1" applyFill="1" applyBorder="1" applyAlignment="1">
      <alignment horizontal="center" vertical="center"/>
    </xf>
    <xf numFmtId="167" fontId="59" fillId="45" borderId="31" xfId="1624" applyNumberFormat="1" applyFont="1" applyFill="1" applyBorder="1" applyAlignment="1">
      <alignment horizontal="center" vertical="center"/>
    </xf>
    <xf numFmtId="167" fontId="59" fillId="0" borderId="31" xfId="1624" applyNumberFormat="1" applyFont="1" applyFill="1" applyBorder="1" applyAlignment="1">
      <alignment horizontal="center" vertical="center"/>
    </xf>
    <xf numFmtId="167" fontId="59" fillId="45" borderId="32" xfId="1624" applyNumberFormat="1" applyFont="1" applyFill="1" applyBorder="1" applyAlignment="1">
      <alignment horizontal="center" vertical="center"/>
    </xf>
    <xf numFmtId="0" fontId="59" fillId="0" borderId="16" xfId="1624" applyFont="1" applyBorder="1" applyAlignment="1">
      <alignment horizontal="center" vertical="center"/>
    </xf>
    <xf numFmtId="1" fontId="55" fillId="45" borderId="30" xfId="1624" applyNumberFormat="1" applyFont="1" applyFill="1" applyBorder="1" applyAlignment="1">
      <alignment horizontal="center" vertical="center"/>
    </xf>
    <xf numFmtId="1" fontId="55" fillId="45" borderId="31" xfId="1624" applyNumberFormat="1" applyFont="1" applyFill="1" applyBorder="1" applyAlignment="1">
      <alignment horizontal="center" vertical="center"/>
    </xf>
    <xf numFmtId="1" fontId="55" fillId="45" borderId="32" xfId="1624" applyNumberFormat="1" applyFont="1" applyFill="1" applyBorder="1" applyAlignment="1">
      <alignment horizontal="center" vertical="center"/>
    </xf>
    <xf numFmtId="1" fontId="55" fillId="45" borderId="33" xfId="1624" applyNumberFormat="1" applyFont="1" applyFill="1" applyBorder="1" applyAlignment="1">
      <alignment horizontal="center" vertical="center"/>
    </xf>
    <xf numFmtId="1" fontId="55" fillId="45" borderId="41" xfId="1624" applyNumberFormat="1" applyFont="1" applyFill="1" applyBorder="1" applyAlignment="1">
      <alignment horizontal="center" vertical="center"/>
    </xf>
    <xf numFmtId="1" fontId="55" fillId="45" borderId="20" xfId="1624" applyNumberFormat="1" applyFont="1" applyFill="1" applyBorder="1" applyAlignment="1">
      <alignment horizontal="center" vertical="center"/>
    </xf>
    <xf numFmtId="0" fontId="22" fillId="0" borderId="14" xfId="1624" applyFont="1" applyBorder="1" applyAlignment="1">
      <alignment horizontal="center"/>
    </xf>
    <xf numFmtId="0" fontId="45" fillId="0" borderId="0" xfId="0" applyFont="1" applyFill="1" applyBorder="1" applyAlignment="1">
      <alignment vertical="center" wrapText="1"/>
    </xf>
    <xf numFmtId="0" fontId="45" fillId="0" borderId="0" xfId="0" applyFont="1" applyFill="1" applyBorder="1"/>
    <xf numFmtId="2" fontId="45" fillId="0" borderId="0" xfId="0" applyNumberFormat="1" applyFont="1" applyFill="1" applyBorder="1" applyAlignment="1">
      <alignment horizontal="center" vertical="center"/>
    </xf>
    <xf numFmtId="166" fontId="0" fillId="0" borderId="0" xfId="0" applyNumberFormat="1" applyBorder="1" applyAlignment="1">
      <alignment horizontal="center" vertical="center"/>
    </xf>
    <xf numFmtId="0" fontId="45" fillId="0" borderId="0" xfId="0" applyFont="1" applyFill="1"/>
    <xf numFmtId="0" fontId="64" fillId="0" borderId="0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vertical="center"/>
    </xf>
    <xf numFmtId="0" fontId="45" fillId="0" borderId="0" xfId="0" applyFont="1" applyFill="1" applyAlignment="1">
      <alignment vertical="center"/>
    </xf>
    <xf numFmtId="0" fontId="45" fillId="0" borderId="0" xfId="0" applyFont="1" applyFill="1" applyBorder="1" applyAlignment="1">
      <alignment horizontal="center" vertical="center"/>
    </xf>
    <xf numFmtId="0" fontId="45" fillId="0" borderId="20" xfId="0" applyFont="1" applyBorder="1" applyAlignment="1">
      <alignment horizontal="left" vertical="center" wrapText="1"/>
    </xf>
    <xf numFmtId="0" fontId="15" fillId="50" borderId="22" xfId="0" applyFont="1" applyFill="1" applyBorder="1" applyAlignment="1">
      <alignment horizontal="center"/>
    </xf>
    <xf numFmtId="0" fontId="68" fillId="0" borderId="0" xfId="0" applyFont="1" applyFill="1" applyBorder="1" applyAlignment="1">
      <alignment vertical="center" wrapText="1"/>
    </xf>
    <xf numFmtId="0" fontId="69" fillId="0" borderId="0" xfId="0" applyFont="1" applyFill="1" applyBorder="1" applyAlignment="1">
      <alignment horizontal="center" vertical="center" wrapText="1"/>
    </xf>
    <xf numFmtId="2" fontId="69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left" vertical="center" wrapText="1"/>
    </xf>
    <xf numFmtId="0" fontId="70" fillId="0" borderId="0" xfId="0" applyFont="1" applyFill="1" applyBorder="1" applyAlignment="1">
      <alignment vertical="center" wrapText="1"/>
    </xf>
    <xf numFmtId="0" fontId="45" fillId="50" borderId="20" xfId="0" applyFont="1" applyFill="1" applyBorder="1" applyAlignment="1">
      <alignment horizontal="center" vertical="center"/>
    </xf>
    <xf numFmtId="0" fontId="69" fillId="50" borderId="20" xfId="0" applyFont="1" applyFill="1" applyBorder="1" applyAlignment="1">
      <alignment horizontal="center" vertical="center" wrapText="1"/>
    </xf>
    <xf numFmtId="2" fontId="45" fillId="50" borderId="23" xfId="0" applyNumberFormat="1" applyFont="1" applyFill="1" applyBorder="1" applyAlignment="1">
      <alignment horizontal="center" vertical="center"/>
    </xf>
    <xf numFmtId="2" fontId="45" fillId="50" borderId="20" xfId="0" applyNumberFormat="1" applyFont="1" applyFill="1" applyBorder="1" applyAlignment="1">
      <alignment horizontal="center" vertical="center"/>
    </xf>
    <xf numFmtId="2" fontId="45" fillId="0" borderId="20" xfId="0" applyNumberFormat="1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vertical="center" wrapText="1"/>
    </xf>
    <xf numFmtId="0" fontId="50" fillId="0" borderId="0" xfId="0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vertical="center" wrapText="1"/>
    </xf>
    <xf numFmtId="0" fontId="45" fillId="0" borderId="0" xfId="0" applyFont="1" applyAlignment="1">
      <alignment horizontal="right"/>
    </xf>
    <xf numFmtId="14" fontId="50" fillId="0" borderId="42" xfId="0" applyNumberFormat="1" applyFont="1" applyBorder="1" applyAlignment="1"/>
    <xf numFmtId="0" fontId="50" fillId="0" borderId="0" xfId="0" applyFont="1" applyAlignment="1">
      <alignment wrapText="1"/>
    </xf>
    <xf numFmtId="0" fontId="68" fillId="0" borderId="0" xfId="0" applyFont="1" applyBorder="1" applyAlignment="1"/>
    <xf numFmtId="0" fontId="45" fillId="0" borderId="0" xfId="0" applyFont="1" applyFill="1" applyBorder="1" applyAlignment="1">
      <alignment horizontal="right"/>
    </xf>
    <xf numFmtId="14" fontId="50" fillId="0" borderId="0" xfId="0" applyNumberFormat="1" applyFont="1" applyFill="1" applyBorder="1" applyAlignment="1"/>
    <xf numFmtId="0" fontId="50" fillId="0" borderId="0" xfId="0" applyFont="1" applyFill="1" applyBorder="1" applyAlignment="1">
      <alignment wrapText="1"/>
    </xf>
    <xf numFmtId="2" fontId="45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45" fillId="0" borderId="20" xfId="0" applyNumberFormat="1" applyFont="1" applyFill="1" applyBorder="1" applyAlignment="1" applyProtection="1">
      <alignment horizontal="center" vertical="center" wrapText="1"/>
      <protection locked="0"/>
    </xf>
    <xf numFmtId="2" fontId="45" fillId="48" borderId="20" xfId="0" applyNumberFormat="1" applyFont="1" applyFill="1" applyBorder="1" applyAlignment="1" applyProtection="1">
      <alignment horizontal="center" vertical="center" wrapText="1"/>
      <protection locked="0"/>
    </xf>
    <xf numFmtId="2" fontId="45" fillId="51" borderId="20" xfId="0" applyNumberFormat="1" applyFont="1" applyFill="1" applyBorder="1" applyAlignment="1" applyProtection="1">
      <alignment horizontal="center" vertical="center" wrapText="1"/>
      <protection locked="0"/>
    </xf>
    <xf numFmtId="0" fontId="45" fillId="0" borderId="0" xfId="0" applyFont="1" applyBorder="1"/>
    <xf numFmtId="14" fontId="50" fillId="0" borderId="0" xfId="0" applyNumberFormat="1" applyFont="1" applyBorder="1" applyAlignment="1"/>
    <xf numFmtId="0" fontId="45" fillId="0" borderId="43" xfId="0" applyFont="1" applyBorder="1" applyAlignment="1">
      <alignment horizontal="right" vertical="center"/>
    </xf>
    <xf numFmtId="0" fontId="68" fillId="0" borderId="43" xfId="0" applyFont="1" applyBorder="1" applyAlignment="1"/>
    <xf numFmtId="2" fontId="45" fillId="48" borderId="20" xfId="0" applyNumberFormat="1" applyFont="1" applyFill="1" applyBorder="1" applyAlignment="1">
      <alignment horizontal="center" vertical="center"/>
    </xf>
    <xf numFmtId="2" fontId="45" fillId="0" borderId="20" xfId="0" applyNumberFormat="1" applyFont="1" applyFill="1" applyBorder="1" applyAlignment="1">
      <alignment horizontal="left" vertical="center" wrapText="1"/>
    </xf>
    <xf numFmtId="0" fontId="45" fillId="0" borderId="20" xfId="0" applyFont="1" applyBorder="1" applyAlignment="1">
      <alignment horizontal="center" vertical="center"/>
    </xf>
    <xf numFmtId="2" fontId="69" fillId="48" borderId="20" xfId="0" applyNumberFormat="1" applyFont="1" applyFill="1" applyBorder="1" applyAlignment="1">
      <alignment horizontal="center" vertical="center" wrapText="1"/>
    </xf>
    <xf numFmtId="0" fontId="45" fillId="0" borderId="23" xfId="0" applyFont="1" applyBorder="1" applyAlignment="1">
      <alignment vertical="center" wrapText="1"/>
    </xf>
    <xf numFmtId="0" fontId="45" fillId="0" borderId="20" xfId="0" applyFont="1" applyFill="1" applyBorder="1" applyAlignment="1">
      <alignment vertical="center" wrapText="1"/>
    </xf>
    <xf numFmtId="0" fontId="45" fillId="48" borderId="20" xfId="0" applyFont="1" applyFill="1" applyBorder="1" applyAlignment="1">
      <alignment vertical="center" wrapText="1"/>
    </xf>
    <xf numFmtId="0" fontId="45" fillId="0" borderId="23" xfId="0" applyFont="1" applyBorder="1" applyAlignment="1">
      <alignment wrapText="1"/>
    </xf>
    <xf numFmtId="0" fontId="50" fillId="52" borderId="44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 applyProtection="1">
      <alignment horizontal="center" vertical="center"/>
    </xf>
    <xf numFmtId="0" fontId="45" fillId="0" borderId="0" xfId="0" applyFont="1" applyFill="1" applyBorder="1" applyAlignment="1" applyProtection="1">
      <alignment horizontal="left" vertical="center" wrapText="1"/>
    </xf>
    <xf numFmtId="0" fontId="45" fillId="0" borderId="20" xfId="0" applyFont="1" applyFill="1" applyBorder="1" applyAlignment="1" applyProtection="1">
      <alignment horizontal="center" vertical="center"/>
    </xf>
    <xf numFmtId="0" fontId="45" fillId="0" borderId="23" xfId="0" applyFont="1" applyFill="1" applyBorder="1" applyAlignment="1" applyProtection="1">
      <alignment horizontal="center" vertical="center"/>
    </xf>
    <xf numFmtId="2" fontId="45" fillId="0" borderId="20" xfId="0" applyNumberFormat="1" applyFont="1" applyFill="1" applyBorder="1" applyAlignment="1" applyProtection="1">
      <alignment horizontal="center" vertical="center"/>
    </xf>
    <xf numFmtId="0" fontId="50" fillId="50" borderId="20" xfId="0" applyFont="1" applyFill="1" applyBorder="1" applyAlignment="1" applyProtection="1">
      <alignment horizontal="center" vertical="center" wrapText="1"/>
    </xf>
    <xf numFmtId="0" fontId="50" fillId="51" borderId="20" xfId="0" applyFont="1" applyFill="1" applyBorder="1" applyAlignment="1">
      <alignment horizontal="center" vertical="center" wrapText="1"/>
    </xf>
    <xf numFmtId="1" fontId="50" fillId="50" borderId="20" xfId="0" applyNumberFormat="1" applyFont="1" applyFill="1" applyBorder="1" applyAlignment="1">
      <alignment horizontal="center" vertical="center" wrapText="1"/>
    </xf>
    <xf numFmtId="14" fontId="50" fillId="0" borderId="0" xfId="0" applyNumberFormat="1" applyFont="1" applyFill="1" applyBorder="1" applyAlignment="1">
      <alignment horizontal="center" vertical="center" wrapText="1"/>
    </xf>
    <xf numFmtId="0" fontId="45" fillId="0" borderId="47" xfId="0" applyFont="1" applyFill="1" applyBorder="1" applyAlignment="1" applyProtection="1">
      <alignment horizontal="right" vertical="center"/>
    </xf>
    <xf numFmtId="14" fontId="45" fillId="0" borderId="20" xfId="0" applyNumberFormat="1" applyFont="1" applyFill="1" applyBorder="1" applyAlignment="1" applyProtection="1">
      <alignment horizontal="center" vertical="center"/>
    </xf>
    <xf numFmtId="0" fontId="45" fillId="0" borderId="23" xfId="0" applyFont="1" applyFill="1" applyBorder="1" applyAlignment="1" applyProtection="1">
      <alignment horizontal="center" vertical="center" wrapText="1"/>
    </xf>
    <xf numFmtId="14" fontId="50" fillId="0" borderId="47" xfId="0" applyNumberFormat="1" applyFont="1" applyFill="1" applyBorder="1" applyAlignment="1" applyProtection="1">
      <alignment horizontal="center" vertical="center"/>
    </xf>
    <xf numFmtId="1" fontId="50" fillId="0" borderId="0" xfId="0" applyNumberFormat="1" applyFont="1" applyFill="1" applyBorder="1" applyAlignment="1">
      <alignment vertical="center"/>
    </xf>
    <xf numFmtId="0" fontId="45" fillId="0" borderId="0" xfId="0" applyFont="1" applyFill="1" applyBorder="1" applyAlignment="1">
      <alignment horizontal="left" vertical="center" indent="1"/>
    </xf>
    <xf numFmtId="0" fontId="50" fillId="0" borderId="0" xfId="0" applyFont="1" applyFill="1" applyBorder="1" applyAlignment="1">
      <alignment vertical="top"/>
    </xf>
    <xf numFmtId="0" fontId="45" fillId="0" borderId="0" xfId="0" applyFont="1" applyBorder="1" applyAlignment="1">
      <alignment horizontal="right" vertical="center"/>
    </xf>
    <xf numFmtId="0" fontId="45" fillId="0" borderId="0" xfId="0" applyFont="1" applyBorder="1" applyAlignment="1">
      <alignment vertical="center" wrapText="1"/>
    </xf>
    <xf numFmtId="0" fontId="69" fillId="0" borderId="0" xfId="0" applyFont="1"/>
    <xf numFmtId="0" fontId="45" fillId="0" borderId="20" xfId="0" applyFont="1" applyFill="1" applyBorder="1" applyAlignment="1">
      <alignment horizontal="center" vertical="center"/>
    </xf>
    <xf numFmtId="0" fontId="45" fillId="0" borderId="20" xfId="0" applyFont="1" applyFill="1" applyBorder="1" applyAlignment="1">
      <alignment horizontal="left" vertical="center" wrapText="1"/>
    </xf>
    <xf numFmtId="0" fontId="50" fillId="38" borderId="20" xfId="0" applyFont="1" applyFill="1" applyBorder="1" applyAlignment="1">
      <alignment horizontal="center" vertical="center" wrapText="1"/>
    </xf>
    <xf numFmtId="0" fontId="50" fillId="38" borderId="23" xfId="0" applyFont="1" applyFill="1" applyBorder="1" applyAlignment="1">
      <alignment horizontal="center" vertical="center" wrapText="1"/>
    </xf>
    <xf numFmtId="2" fontId="45" fillId="0" borderId="20" xfId="0" applyNumberFormat="1" applyFont="1" applyFill="1" applyBorder="1" applyAlignment="1">
      <alignment horizontal="center" vertical="center"/>
    </xf>
    <xf numFmtId="2" fontId="69" fillId="0" borderId="20" xfId="0" applyNumberFormat="1" applyFont="1" applyFill="1" applyBorder="1" applyAlignment="1">
      <alignment horizontal="center" vertical="center" wrapText="1"/>
    </xf>
    <xf numFmtId="0" fontId="45" fillId="0" borderId="0" xfId="0" applyFont="1" applyBorder="1" applyAlignment="1">
      <alignment horizontal="left" vertical="center"/>
    </xf>
    <xf numFmtId="0" fontId="45" fillId="0" borderId="0" xfId="0" applyFont="1" applyBorder="1" applyAlignment="1">
      <alignment horizontal="left" vertical="center" wrapText="1"/>
    </xf>
    <xf numFmtId="2" fontId="45" fillId="51" borderId="20" xfId="0" applyNumberFormat="1" applyFont="1" applyFill="1" applyBorder="1" applyAlignment="1">
      <alignment horizontal="center" vertical="center"/>
    </xf>
    <xf numFmtId="2" fontId="45" fillId="51" borderId="23" xfId="0" applyNumberFormat="1" applyFont="1" applyFill="1" applyBorder="1" applyAlignment="1">
      <alignment horizontal="center" vertical="center"/>
    </xf>
    <xf numFmtId="2" fontId="69" fillId="50" borderId="20" xfId="0" applyNumberFormat="1" applyFont="1" applyFill="1" applyBorder="1" applyAlignment="1">
      <alignment horizontal="center" vertical="center" wrapText="1"/>
    </xf>
    <xf numFmtId="2" fontId="69" fillId="51" borderId="20" xfId="0" applyNumberFormat="1" applyFont="1" applyFill="1" applyBorder="1" applyAlignment="1">
      <alignment horizontal="center" vertical="center" wrapText="1"/>
    </xf>
    <xf numFmtId="2" fontId="45" fillId="48" borderId="20" xfId="0" applyNumberFormat="1" applyFont="1" applyFill="1" applyBorder="1" applyAlignment="1">
      <alignment horizontal="center" vertical="center" wrapText="1"/>
    </xf>
    <xf numFmtId="0" fontId="68" fillId="0" borderId="43" xfId="0" applyFont="1" applyFill="1" applyBorder="1" applyAlignment="1">
      <alignment vertical="center" wrapText="1"/>
    </xf>
    <xf numFmtId="0" fontId="45" fillId="0" borderId="43" xfId="0" applyFont="1" applyBorder="1" applyAlignment="1">
      <alignment horizontal="right"/>
    </xf>
    <xf numFmtId="0" fontId="50" fillId="50" borderId="22" xfId="0" applyFont="1" applyFill="1" applyBorder="1" applyAlignment="1">
      <alignment horizontal="center" vertical="center"/>
    </xf>
    <xf numFmtId="2" fontId="69" fillId="0" borderId="20" xfId="0" applyNumberFormat="1" applyFont="1" applyFill="1" applyBorder="1" applyAlignment="1">
      <alignment vertical="center" wrapText="1"/>
    </xf>
    <xf numFmtId="0" fontId="50" fillId="52" borderId="20" xfId="0" applyFont="1" applyFill="1" applyBorder="1" applyAlignment="1">
      <alignment horizontal="center" vertical="center" wrapText="1"/>
    </xf>
    <xf numFmtId="14" fontId="45" fillId="0" borderId="0" xfId="0" applyNumberFormat="1" applyFont="1" applyFill="1" applyBorder="1" applyAlignment="1">
      <alignment horizontal="center" vertical="center" wrapText="1"/>
    </xf>
    <xf numFmtId="0" fontId="45" fillId="0" borderId="42" xfId="0" applyFont="1" applyFill="1" applyBorder="1" applyAlignment="1" applyProtection="1">
      <alignment horizontal="right" vertical="center"/>
    </xf>
    <xf numFmtId="0" fontId="22" fillId="0" borderId="10" xfId="1624" applyFont="1" applyBorder="1" applyAlignment="1">
      <alignment horizontal="center"/>
    </xf>
    <xf numFmtId="0" fontId="62" fillId="47" borderId="0" xfId="1624" applyFont="1" applyFill="1" applyBorder="1" applyAlignment="1">
      <alignment horizontal="center" vertical="center"/>
    </xf>
    <xf numFmtId="0" fontId="54" fillId="0" borderId="0" xfId="1624" applyFont="1" applyBorder="1" applyAlignment="1">
      <alignment horizontal="center" vertical="center"/>
    </xf>
    <xf numFmtId="0" fontId="24" fillId="0" borderId="0" xfId="1624" applyFont="1" applyBorder="1" applyAlignment="1">
      <alignment horizontal="center" vertical="center"/>
    </xf>
    <xf numFmtId="0" fontId="62" fillId="44" borderId="14" xfId="1624" applyFont="1" applyFill="1" applyBorder="1" applyAlignment="1">
      <alignment horizontal="center" vertical="center" wrapText="1"/>
    </xf>
    <xf numFmtId="0" fontId="42" fillId="0" borderId="20" xfId="1624" applyFont="1" applyBorder="1" applyAlignment="1">
      <alignment horizontal="center" vertical="center" wrapText="1"/>
    </xf>
    <xf numFmtId="0" fontId="59" fillId="0" borderId="20" xfId="1624" applyFont="1" applyBorder="1" applyAlignment="1">
      <alignment horizontal="center" vertical="center" wrapText="1"/>
    </xf>
    <xf numFmtId="0" fontId="59" fillId="0" borderId="20" xfId="1624" applyFont="1" applyBorder="1" applyAlignment="1">
      <alignment horizontal="center" vertical="center"/>
    </xf>
    <xf numFmtId="0" fontId="61" fillId="0" borderId="21" xfId="1624" applyFont="1" applyBorder="1" applyAlignment="1">
      <alignment horizontal="center" vertical="center" wrapText="1"/>
    </xf>
    <xf numFmtId="0" fontId="61" fillId="0" borderId="22" xfId="1624" applyFont="1" applyBorder="1" applyAlignment="1">
      <alignment horizontal="center" vertical="center" wrapText="1"/>
    </xf>
    <xf numFmtId="0" fontId="62" fillId="44" borderId="12" xfId="1624" applyFont="1" applyFill="1" applyBorder="1" applyAlignment="1">
      <alignment horizontal="center" vertical="center" wrapText="1"/>
    </xf>
    <xf numFmtId="0" fontId="62" fillId="44" borderId="17" xfId="1624" applyFont="1" applyFill="1" applyBorder="1" applyAlignment="1">
      <alignment horizontal="center" vertical="center" wrapText="1"/>
    </xf>
    <xf numFmtId="1" fontId="62" fillId="0" borderId="19" xfId="1624" applyNumberFormat="1" applyFont="1" applyBorder="1" applyAlignment="1">
      <alignment horizontal="center" vertical="center"/>
    </xf>
    <xf numFmtId="1" fontId="62" fillId="0" borderId="8" xfId="1624" applyNumberFormat="1" applyFont="1" applyBorder="1" applyAlignment="1">
      <alignment horizontal="center" vertical="center"/>
    </xf>
    <xf numFmtId="0" fontId="60" fillId="44" borderId="17" xfId="1624" applyFont="1" applyFill="1" applyBorder="1" applyAlignment="1">
      <alignment horizontal="center" vertical="center" wrapText="1"/>
    </xf>
    <xf numFmtId="0" fontId="61" fillId="44" borderId="8" xfId="1624" applyFont="1" applyFill="1" applyBorder="1" applyAlignment="1">
      <alignment horizontal="center" vertical="center"/>
    </xf>
    <xf numFmtId="0" fontId="61" fillId="44" borderId="15" xfId="1624" applyFont="1" applyFill="1" applyBorder="1" applyAlignment="1">
      <alignment horizontal="center" vertical="center"/>
    </xf>
    <xf numFmtId="0" fontId="61" fillId="44" borderId="17" xfId="1624" applyFont="1" applyFill="1" applyBorder="1" applyAlignment="1">
      <alignment horizontal="center" vertical="center"/>
    </xf>
    <xf numFmtId="0" fontId="61" fillId="0" borderId="19" xfId="1624" applyFont="1" applyBorder="1" applyAlignment="1">
      <alignment horizontal="center" vertical="center"/>
    </xf>
    <xf numFmtId="0" fontId="61" fillId="0" borderId="8" xfId="1624" applyFont="1" applyBorder="1" applyAlignment="1">
      <alignment horizontal="center" vertical="center"/>
    </xf>
    <xf numFmtId="0" fontId="57" fillId="0" borderId="0" xfId="1624" applyFont="1" applyBorder="1" applyAlignment="1">
      <alignment horizontal="center" vertical="center"/>
    </xf>
    <xf numFmtId="0" fontId="61" fillId="0" borderId="0" xfId="1624" applyFont="1" applyBorder="1" applyAlignment="1">
      <alignment horizontal="center" vertical="center"/>
    </xf>
    <xf numFmtId="0" fontId="26" fillId="0" borderId="0" xfId="1624" applyFont="1" applyBorder="1" applyAlignment="1">
      <alignment horizontal="center" vertical="center"/>
    </xf>
    <xf numFmtId="0" fontId="37" fillId="0" borderId="0" xfId="1624" applyFont="1" applyBorder="1" applyAlignment="1"/>
    <xf numFmtId="0" fontId="25" fillId="44" borderId="10" xfId="1624" applyFont="1" applyFill="1" applyBorder="1" applyAlignment="1">
      <alignment horizontal="center" vertical="center" wrapText="1"/>
    </xf>
    <xf numFmtId="0" fontId="21" fillId="44" borderId="11" xfId="1624" applyFont="1" applyFill="1" applyBorder="1" applyAlignment="1">
      <alignment horizontal="center" vertical="center" wrapText="1"/>
    </xf>
    <xf numFmtId="0" fontId="25" fillId="0" borderId="11" xfId="1624" applyFont="1" applyBorder="1" applyAlignment="1">
      <alignment vertical="center" wrapText="1"/>
    </xf>
    <xf numFmtId="0" fontId="23" fillId="0" borderId="11" xfId="1624" applyFont="1" applyBorder="1" applyAlignment="1">
      <alignment horizontal="center" vertical="center"/>
    </xf>
    <xf numFmtId="0" fontId="23" fillId="0" borderId="9" xfId="1624" applyFont="1" applyBorder="1" applyAlignment="1">
      <alignment horizontal="center" vertical="center"/>
    </xf>
    <xf numFmtId="0" fontId="25" fillId="0" borderId="9" xfId="1624" applyFont="1" applyBorder="1" applyAlignment="1">
      <alignment vertical="center" wrapText="1"/>
    </xf>
    <xf numFmtId="0" fontId="25" fillId="44" borderId="9" xfId="1624" applyFont="1" applyFill="1" applyBorder="1" applyAlignment="1">
      <alignment horizontal="center" vertical="center"/>
    </xf>
    <xf numFmtId="0" fontId="25" fillId="44" borderId="10" xfId="1624" applyFont="1" applyFill="1" applyBorder="1" applyAlignment="1">
      <alignment horizontal="center" vertical="center"/>
    </xf>
    <xf numFmtId="0" fontId="25" fillId="0" borderId="9" xfId="1624" applyFont="1" applyBorder="1" applyAlignment="1">
      <alignment horizontal="center"/>
    </xf>
    <xf numFmtId="0" fontId="25" fillId="44" borderId="11" xfId="1624" applyFont="1" applyFill="1" applyBorder="1" applyAlignment="1">
      <alignment horizontal="center" vertical="center"/>
    </xf>
    <xf numFmtId="0" fontId="45" fillId="0" borderId="23" xfId="0" applyFont="1" applyFill="1" applyBorder="1" applyAlignment="1" applyProtection="1">
      <alignment horizontal="left" vertical="center" wrapText="1"/>
    </xf>
    <xf numFmtId="0" fontId="45" fillId="0" borderId="25" xfId="0" applyFont="1" applyFill="1" applyBorder="1" applyAlignment="1" applyProtection="1">
      <alignment horizontal="left" vertical="center" wrapText="1"/>
    </xf>
    <xf numFmtId="0" fontId="45" fillId="0" borderId="21" xfId="0" applyFont="1" applyFill="1" applyBorder="1" applyAlignment="1">
      <alignment horizontal="center" vertical="center"/>
    </xf>
    <xf numFmtId="0" fontId="45" fillId="0" borderId="22" xfId="0" applyFont="1" applyFill="1" applyBorder="1" applyAlignment="1">
      <alignment horizontal="center" vertical="center"/>
    </xf>
    <xf numFmtId="0" fontId="45" fillId="0" borderId="20" xfId="0" applyFont="1" applyFill="1" applyBorder="1" applyAlignment="1" applyProtection="1">
      <alignment horizontal="left" vertical="center" wrapText="1"/>
    </xf>
    <xf numFmtId="0" fontId="45" fillId="0" borderId="26" xfId="0" applyFont="1" applyFill="1" applyBorder="1" applyAlignment="1">
      <alignment horizontal="left" vertical="center" wrapText="1"/>
    </xf>
    <xf numFmtId="0" fontId="45" fillId="0" borderId="28" xfId="0" applyFont="1" applyFill="1" applyBorder="1" applyAlignment="1">
      <alignment horizontal="left" vertical="center" wrapText="1"/>
    </xf>
    <xf numFmtId="0" fontId="45" fillId="0" borderId="34" xfId="0" applyFont="1" applyFill="1" applyBorder="1" applyAlignment="1">
      <alignment horizontal="left" vertical="center" wrapText="1"/>
    </xf>
    <xf numFmtId="0" fontId="45" fillId="0" borderId="39" xfId="0" applyFont="1" applyFill="1" applyBorder="1" applyAlignment="1">
      <alignment horizontal="left" vertical="center" wrapText="1"/>
    </xf>
    <xf numFmtId="0" fontId="45" fillId="0" borderId="27" xfId="0" applyFont="1" applyFill="1" applyBorder="1" applyAlignment="1">
      <alignment horizontal="left" vertical="center" wrapText="1"/>
    </xf>
    <xf numFmtId="0" fontId="45" fillId="0" borderId="36" xfId="0" applyFont="1" applyFill="1" applyBorder="1" applyAlignment="1">
      <alignment horizontal="left" vertical="center" wrapText="1"/>
    </xf>
    <xf numFmtId="0" fontId="45" fillId="0" borderId="23" xfId="0" applyFont="1" applyFill="1" applyBorder="1" applyAlignment="1">
      <alignment horizontal="center" vertical="center"/>
    </xf>
    <xf numFmtId="0" fontId="45" fillId="0" borderId="24" xfId="0" applyFont="1" applyFill="1" applyBorder="1" applyAlignment="1">
      <alignment horizontal="center" vertical="center"/>
    </xf>
    <xf numFmtId="0" fontId="45" fillId="0" borderId="25" xfId="0" applyFont="1" applyFill="1" applyBorder="1" applyAlignment="1">
      <alignment horizontal="center" vertical="center"/>
    </xf>
    <xf numFmtId="0" fontId="45" fillId="0" borderId="23" xfId="0" applyFont="1" applyFill="1" applyBorder="1" applyAlignment="1">
      <alignment horizontal="center" vertical="center" wrapText="1"/>
    </xf>
    <xf numFmtId="0" fontId="45" fillId="0" borderId="24" xfId="0" applyFont="1" applyFill="1" applyBorder="1" applyAlignment="1">
      <alignment horizontal="center" vertical="center" wrapText="1"/>
    </xf>
    <xf numFmtId="0" fontId="45" fillId="0" borderId="25" xfId="0" applyFont="1" applyFill="1" applyBorder="1" applyAlignment="1">
      <alignment horizontal="center" vertical="center" wrapText="1"/>
    </xf>
    <xf numFmtId="0" fontId="45" fillId="0" borderId="20" xfId="0" applyFont="1" applyFill="1" applyBorder="1" applyAlignment="1">
      <alignment horizontal="left" vertical="center" wrapText="1"/>
    </xf>
    <xf numFmtId="0" fontId="45" fillId="0" borderId="20" xfId="0" applyFont="1" applyFill="1" applyBorder="1" applyAlignment="1">
      <alignment horizontal="center" vertical="center"/>
    </xf>
    <xf numFmtId="0" fontId="45" fillId="0" borderId="21" xfId="0" applyFont="1" applyFill="1" applyBorder="1" applyAlignment="1">
      <alignment horizontal="left" vertical="center" wrapText="1"/>
    </xf>
    <xf numFmtId="0" fontId="45" fillId="0" borderId="22" xfId="0" applyFont="1" applyFill="1" applyBorder="1" applyAlignment="1">
      <alignment horizontal="left" vertical="center" wrapText="1"/>
    </xf>
    <xf numFmtId="0" fontId="45" fillId="0" borderId="26" xfId="0" applyFont="1" applyFill="1" applyBorder="1" applyAlignment="1">
      <alignment horizontal="center" vertical="center"/>
    </xf>
    <xf numFmtId="0" fontId="45" fillId="0" borderId="28" xfId="0" applyFont="1" applyFill="1" applyBorder="1" applyAlignment="1">
      <alignment horizontal="center" vertical="center"/>
    </xf>
    <xf numFmtId="0" fontId="45" fillId="0" borderId="34" xfId="0" applyFont="1" applyFill="1" applyBorder="1" applyAlignment="1">
      <alignment horizontal="center" vertical="center"/>
    </xf>
    <xf numFmtId="0" fontId="45" fillId="0" borderId="39" xfId="0" applyFont="1" applyFill="1" applyBorder="1" applyAlignment="1">
      <alignment horizontal="center" vertical="center"/>
    </xf>
    <xf numFmtId="0" fontId="45" fillId="0" borderId="27" xfId="0" applyFont="1" applyFill="1" applyBorder="1" applyAlignment="1">
      <alignment horizontal="center" vertical="center"/>
    </xf>
    <xf numFmtId="0" fontId="45" fillId="0" borderId="36" xfId="0" applyFont="1" applyFill="1" applyBorder="1" applyAlignment="1">
      <alignment horizontal="center" vertical="center"/>
    </xf>
    <xf numFmtId="2" fontId="45" fillId="0" borderId="23" xfId="0" applyNumberFormat="1" applyFont="1" applyFill="1" applyBorder="1" applyAlignment="1">
      <alignment horizontal="center" vertical="center"/>
    </xf>
    <xf numFmtId="2" fontId="45" fillId="0" borderId="25" xfId="0" applyNumberFormat="1" applyFont="1" applyFill="1" applyBorder="1" applyAlignment="1">
      <alignment horizontal="center" vertical="center"/>
    </xf>
    <xf numFmtId="0" fontId="45" fillId="0" borderId="23" xfId="0" applyFont="1" applyBorder="1" applyAlignment="1">
      <alignment horizontal="left" vertical="center" wrapText="1"/>
    </xf>
    <xf numFmtId="0" fontId="45" fillId="0" borderId="24" xfId="0" applyFont="1" applyBorder="1" applyAlignment="1">
      <alignment horizontal="left" vertical="center" wrapText="1"/>
    </xf>
    <xf numFmtId="0" fontId="45" fillId="0" borderId="25" xfId="0" applyFont="1" applyBorder="1" applyAlignment="1">
      <alignment horizontal="left" vertical="center" wrapText="1"/>
    </xf>
    <xf numFmtId="0" fontId="49" fillId="0" borderId="0" xfId="1624" applyFont="1" applyBorder="1" applyAlignment="1">
      <alignment horizontal="center"/>
    </xf>
    <xf numFmtId="0" fontId="68" fillId="0" borderId="43" xfId="0" applyFont="1" applyBorder="1" applyAlignment="1">
      <alignment horizontal="center"/>
    </xf>
    <xf numFmtId="0" fontId="50" fillId="51" borderId="23" xfId="0" applyFont="1" applyFill="1" applyBorder="1" applyAlignment="1">
      <alignment horizontal="center" vertical="center"/>
    </xf>
    <xf numFmtId="0" fontId="50" fillId="51" borderId="24" xfId="0" applyFont="1" applyFill="1" applyBorder="1" applyAlignment="1">
      <alignment horizontal="center" vertical="center"/>
    </xf>
    <xf numFmtId="0" fontId="50" fillId="51" borderId="25" xfId="0" applyFont="1" applyFill="1" applyBorder="1" applyAlignment="1">
      <alignment horizontal="center" vertical="center"/>
    </xf>
    <xf numFmtId="0" fontId="50" fillId="50" borderId="23" xfId="0" applyFont="1" applyFill="1" applyBorder="1" applyAlignment="1" applyProtection="1">
      <alignment horizontal="center" vertical="center"/>
    </xf>
    <xf numFmtId="0" fontId="50" fillId="50" borderId="25" xfId="0" applyFont="1" applyFill="1" applyBorder="1" applyAlignment="1" applyProtection="1">
      <alignment horizontal="center" vertical="center"/>
    </xf>
    <xf numFmtId="0" fontId="50" fillId="38" borderId="26" xfId="0" applyFont="1" applyFill="1" applyBorder="1" applyAlignment="1">
      <alignment horizontal="center" vertical="center" wrapText="1"/>
    </xf>
    <xf numFmtId="0" fontId="50" fillId="38" borderId="28" xfId="0" applyFont="1" applyFill="1" applyBorder="1" applyAlignment="1">
      <alignment horizontal="center" vertical="center" wrapText="1"/>
    </xf>
    <xf numFmtId="0" fontId="50" fillId="38" borderId="34" xfId="0" applyFont="1" applyFill="1" applyBorder="1" applyAlignment="1">
      <alignment horizontal="center" vertical="center" wrapText="1"/>
    </xf>
    <xf numFmtId="0" fontId="50" fillId="38" borderId="38" xfId="0" applyFont="1" applyFill="1" applyBorder="1" applyAlignment="1">
      <alignment horizontal="center" vertical="center" wrapText="1"/>
    </xf>
    <xf numFmtId="0" fontId="50" fillId="38" borderId="0" xfId="0" applyFont="1" applyFill="1" applyBorder="1" applyAlignment="1">
      <alignment horizontal="center" vertical="center" wrapText="1"/>
    </xf>
    <xf numFmtId="0" fontId="50" fillId="38" borderId="35" xfId="0" applyFont="1" applyFill="1" applyBorder="1" applyAlignment="1">
      <alignment horizontal="center" vertical="center" wrapText="1"/>
    </xf>
    <xf numFmtId="0" fontId="50" fillId="38" borderId="39" xfId="0" applyFont="1" applyFill="1" applyBorder="1" applyAlignment="1">
      <alignment horizontal="center" vertical="center" wrapText="1"/>
    </xf>
    <xf numFmtId="0" fontId="50" fillId="38" borderId="27" xfId="0" applyFont="1" applyFill="1" applyBorder="1" applyAlignment="1">
      <alignment horizontal="center" vertical="center" wrapText="1"/>
    </xf>
    <xf numFmtId="0" fontId="50" fillId="38" borderId="36" xfId="0" applyFont="1" applyFill="1" applyBorder="1" applyAlignment="1">
      <alignment horizontal="center" vertical="center" wrapText="1"/>
    </xf>
    <xf numFmtId="0" fontId="50" fillId="52" borderId="20" xfId="0" applyFont="1" applyFill="1" applyBorder="1" applyAlignment="1">
      <alignment horizontal="center" vertical="center" wrapText="1"/>
    </xf>
    <xf numFmtId="0" fontId="50" fillId="52" borderId="23" xfId="0" applyFont="1" applyFill="1" applyBorder="1" applyAlignment="1">
      <alignment horizontal="center" vertical="center" wrapText="1"/>
    </xf>
    <xf numFmtId="0" fontId="50" fillId="52" borderId="25" xfId="0" applyFont="1" applyFill="1" applyBorder="1" applyAlignment="1">
      <alignment horizontal="center" vertical="center" wrapText="1"/>
    </xf>
    <xf numFmtId="0" fontId="45" fillId="0" borderId="26" xfId="0" applyFont="1" applyFill="1" applyBorder="1" applyAlignment="1" applyProtection="1">
      <alignment horizontal="left" vertical="center" wrapText="1"/>
    </xf>
    <xf numFmtId="0" fontId="45" fillId="0" borderId="34" xfId="0" applyFont="1" applyFill="1" applyBorder="1" applyAlignment="1" applyProtection="1">
      <alignment horizontal="left" vertical="center" wrapText="1"/>
    </xf>
    <xf numFmtId="0" fontId="50" fillId="52" borderId="46" xfId="0" applyFont="1" applyFill="1" applyBorder="1" applyAlignment="1">
      <alignment horizontal="center" vertical="center" wrapText="1"/>
    </xf>
    <xf numFmtId="0" fontId="50" fillId="52" borderId="45" xfId="0" applyFont="1" applyFill="1" applyBorder="1" applyAlignment="1">
      <alignment horizontal="center" vertical="center" wrapText="1"/>
    </xf>
    <xf numFmtId="0" fontId="45" fillId="0" borderId="21" xfId="0" applyFont="1" applyBorder="1" applyAlignment="1">
      <alignment horizontal="left" vertical="center" wrapText="1"/>
    </xf>
    <xf numFmtId="0" fontId="45" fillId="0" borderId="22" xfId="0" applyFont="1" applyBorder="1" applyAlignment="1">
      <alignment horizontal="left" vertical="center" wrapText="1"/>
    </xf>
    <xf numFmtId="2" fontId="69" fillId="48" borderId="21" xfId="0" applyNumberFormat="1" applyFont="1" applyFill="1" applyBorder="1" applyAlignment="1">
      <alignment horizontal="center" vertical="center" wrapText="1"/>
    </xf>
    <xf numFmtId="2" fontId="69" fillId="48" borderId="22" xfId="0" applyNumberFormat="1" applyFont="1" applyFill="1" applyBorder="1" applyAlignment="1">
      <alignment horizontal="center" vertical="center" wrapText="1"/>
    </xf>
    <xf numFmtId="0" fontId="69" fillId="48" borderId="21" xfId="0" applyFont="1" applyFill="1" applyBorder="1" applyAlignment="1">
      <alignment horizontal="center" vertical="center" wrapText="1"/>
    </xf>
    <xf numFmtId="0" fontId="69" fillId="48" borderId="22" xfId="0" applyFont="1" applyFill="1" applyBorder="1" applyAlignment="1">
      <alignment horizontal="center" vertical="center" wrapText="1"/>
    </xf>
    <xf numFmtId="2" fontId="69" fillId="0" borderId="20" xfId="0" applyNumberFormat="1" applyFont="1" applyFill="1" applyBorder="1" applyAlignment="1">
      <alignment horizontal="center" vertical="center" wrapText="1"/>
    </xf>
    <xf numFmtId="2" fontId="45" fillId="0" borderId="20" xfId="0" applyNumberFormat="1" applyFont="1" applyFill="1" applyBorder="1" applyAlignment="1">
      <alignment horizontal="center" vertical="center"/>
    </xf>
    <xf numFmtId="14" fontId="45" fillId="0" borderId="43" xfId="0" applyNumberFormat="1" applyFont="1" applyFill="1" applyBorder="1" applyAlignment="1">
      <alignment horizontal="center" vertical="center"/>
    </xf>
    <xf numFmtId="14" fontId="50" fillId="0" borderId="0" xfId="0" applyNumberFormat="1" applyFont="1" applyBorder="1" applyAlignment="1">
      <alignment horizontal="center"/>
    </xf>
    <xf numFmtId="0" fontId="50" fillId="51" borderId="20" xfId="0" applyFont="1" applyFill="1" applyBorder="1" applyAlignment="1">
      <alignment horizontal="center" vertical="center"/>
    </xf>
    <xf numFmtId="0" fontId="64" fillId="38" borderId="20" xfId="0" applyFont="1" applyFill="1" applyBorder="1" applyAlignment="1">
      <alignment horizontal="center" vertical="center" wrapText="1"/>
    </xf>
    <xf numFmtId="0" fontId="55" fillId="38" borderId="20" xfId="0" applyFont="1" applyFill="1" applyBorder="1" applyAlignment="1">
      <alignment horizontal="center" vertical="center" wrapText="1"/>
    </xf>
    <xf numFmtId="0" fontId="70" fillId="0" borderId="20" xfId="0" applyFont="1" applyBorder="1" applyAlignment="1">
      <alignment horizontal="left" vertical="center" wrapText="1"/>
    </xf>
    <xf numFmtId="2" fontId="69" fillId="50" borderId="20" xfId="0" applyNumberFormat="1" applyFont="1" applyFill="1" applyBorder="1" applyAlignment="1">
      <alignment horizontal="center" vertical="center"/>
    </xf>
    <xf numFmtId="167" fontId="69" fillId="50" borderId="20" xfId="0" applyNumberFormat="1" applyFont="1" applyFill="1" applyBorder="1" applyAlignment="1">
      <alignment horizontal="center" vertical="center"/>
    </xf>
    <xf numFmtId="168" fontId="69" fillId="50" borderId="20" xfId="0" applyNumberFormat="1" applyFont="1" applyFill="1" applyBorder="1" applyAlignment="1">
      <alignment horizontal="center" vertical="center"/>
    </xf>
    <xf numFmtId="1" fontId="69" fillId="50" borderId="20" xfId="0" applyNumberFormat="1" applyFont="1" applyFill="1" applyBorder="1" applyAlignment="1">
      <alignment horizontal="center" vertical="center"/>
    </xf>
    <xf numFmtId="0" fontId="0" fillId="50" borderId="20" xfId="0" applyFill="1" applyBorder="1"/>
    <xf numFmtId="0" fontId="70" fillId="0" borderId="20" xfId="0" applyFont="1" applyFill="1" applyBorder="1" applyAlignment="1">
      <alignment horizontal="left" vertical="center" wrapText="1"/>
    </xf>
    <xf numFmtId="14" fontId="50" fillId="0" borderId="0" xfId="0" applyNumberFormat="1" applyFont="1" applyFill="1" applyBorder="1" applyAlignment="1">
      <alignment horizontal="center"/>
    </xf>
    <xf numFmtId="14" fontId="50" fillId="0" borderId="42" xfId="0" applyNumberFormat="1" applyFont="1" applyBorder="1" applyAlignment="1">
      <alignment horizontal="center"/>
    </xf>
    <xf numFmtId="0" fontId="50" fillId="51" borderId="26" xfId="0" applyFont="1" applyFill="1" applyBorder="1" applyAlignment="1">
      <alignment horizontal="center" vertical="center"/>
    </xf>
    <xf numFmtId="0" fontId="50" fillId="51" borderId="28" xfId="0" applyFont="1" applyFill="1" applyBorder="1" applyAlignment="1">
      <alignment horizontal="center" vertical="center"/>
    </xf>
    <xf numFmtId="0" fontId="50" fillId="51" borderId="34" xfId="0" applyFont="1" applyFill="1" applyBorder="1" applyAlignment="1">
      <alignment horizontal="center" vertical="center"/>
    </xf>
    <xf numFmtId="0" fontId="50" fillId="50" borderId="38" xfId="0" applyFont="1" applyFill="1" applyBorder="1" applyAlignment="1">
      <alignment horizontal="center" vertical="center"/>
    </xf>
    <xf numFmtId="0" fontId="50" fillId="50" borderId="0" xfId="0" applyFont="1" applyFill="1" applyBorder="1" applyAlignment="1">
      <alignment horizontal="center" vertical="center"/>
    </xf>
    <xf numFmtId="0" fontId="50" fillId="50" borderId="35" xfId="0" applyFont="1" applyFill="1" applyBorder="1" applyAlignment="1">
      <alignment horizontal="center" vertical="center"/>
    </xf>
    <xf numFmtId="0" fontId="50" fillId="51" borderId="39" xfId="0" applyFont="1" applyFill="1" applyBorder="1" applyAlignment="1">
      <alignment horizontal="center" vertical="center"/>
    </xf>
    <xf numFmtId="0" fontId="50" fillId="51" borderId="27" xfId="0" applyFont="1" applyFill="1" applyBorder="1" applyAlignment="1">
      <alignment horizontal="center" vertical="center"/>
    </xf>
    <xf numFmtId="0" fontId="50" fillId="51" borderId="36" xfId="0" applyFont="1" applyFill="1" applyBorder="1" applyAlignment="1">
      <alignment horizontal="center" vertical="center"/>
    </xf>
    <xf numFmtId="0" fontId="50" fillId="38" borderId="23" xfId="0" applyFont="1" applyFill="1" applyBorder="1" applyAlignment="1">
      <alignment horizontal="center" vertical="center" wrapText="1"/>
    </xf>
    <xf numFmtId="0" fontId="50" fillId="38" borderId="24" xfId="0" applyFont="1" applyFill="1" applyBorder="1" applyAlignment="1">
      <alignment horizontal="center" vertical="center" wrapText="1"/>
    </xf>
    <xf numFmtId="0" fontId="50" fillId="38" borderId="25" xfId="0" applyFont="1" applyFill="1" applyBorder="1" applyAlignment="1">
      <alignment horizontal="center" vertical="center" wrapText="1"/>
    </xf>
    <xf numFmtId="0" fontId="50" fillId="38" borderId="21" xfId="0" applyFont="1" applyFill="1" applyBorder="1" applyAlignment="1">
      <alignment horizontal="center" vertical="center" wrapText="1"/>
    </xf>
    <xf numFmtId="0" fontId="50" fillId="38" borderId="22" xfId="0" applyFont="1" applyFill="1" applyBorder="1" applyAlignment="1">
      <alignment horizontal="center" vertical="center" wrapText="1"/>
    </xf>
    <xf numFmtId="0" fontId="68" fillId="0" borderId="43" xfId="0" applyFont="1" applyFill="1" applyBorder="1" applyAlignment="1">
      <alignment horizontal="right" vertical="center" wrapText="1"/>
    </xf>
    <xf numFmtId="14" fontId="50" fillId="0" borderId="43" xfId="0" applyNumberFormat="1" applyFont="1" applyBorder="1" applyAlignment="1">
      <alignment horizontal="center"/>
    </xf>
    <xf numFmtId="0" fontId="55" fillId="38" borderId="23" xfId="0" applyFont="1" applyFill="1" applyBorder="1" applyAlignment="1">
      <alignment horizontal="center" vertical="center" wrapText="1"/>
    </xf>
    <xf numFmtId="0" fontId="55" fillId="38" borderId="24" xfId="0" applyFont="1" applyFill="1" applyBorder="1" applyAlignment="1">
      <alignment horizontal="center" vertical="center" wrapText="1"/>
    </xf>
    <xf numFmtId="0" fontId="55" fillId="38" borderId="25" xfId="0" applyFont="1" applyFill="1" applyBorder="1" applyAlignment="1">
      <alignment horizontal="center" vertical="center" wrapText="1"/>
    </xf>
    <xf numFmtId="0" fontId="67" fillId="50" borderId="22" xfId="0" applyFont="1" applyFill="1" applyBorder="1" applyAlignment="1">
      <alignment horizontal="center"/>
    </xf>
    <xf numFmtId="0" fontId="67" fillId="50" borderId="22" xfId="0" applyFont="1" applyFill="1" applyBorder="1" applyAlignment="1">
      <alignment horizontal="center" vertical="center"/>
    </xf>
    <xf numFmtId="2" fontId="65" fillId="0" borderId="20" xfId="0" applyNumberFormat="1" applyFont="1" applyBorder="1" applyAlignment="1">
      <alignment horizontal="center" vertical="center"/>
    </xf>
    <xf numFmtId="2" fontId="65" fillId="0" borderId="26" xfId="0" applyNumberFormat="1" applyFont="1" applyBorder="1" applyAlignment="1">
      <alignment horizontal="center" vertical="center"/>
    </xf>
    <xf numFmtId="2" fontId="65" fillId="0" borderId="34" xfId="0" applyNumberFormat="1" applyFont="1" applyBorder="1" applyAlignment="1">
      <alignment horizontal="center" vertical="center"/>
    </xf>
    <xf numFmtId="2" fontId="45" fillId="48" borderId="23" xfId="0" applyNumberFormat="1" applyFont="1" applyFill="1" applyBorder="1" applyAlignment="1">
      <alignment horizontal="center" vertical="center"/>
    </xf>
    <xf numFmtId="2" fontId="45" fillId="48" borderId="25" xfId="0" applyNumberFormat="1" applyFont="1" applyFill="1" applyBorder="1" applyAlignment="1">
      <alignment horizontal="center" vertical="center"/>
    </xf>
    <xf numFmtId="2" fontId="65" fillId="48" borderId="20" xfId="0" applyNumberFormat="1" applyFont="1" applyFill="1" applyBorder="1" applyAlignment="1">
      <alignment horizontal="center" vertical="center"/>
    </xf>
    <xf numFmtId="0" fontId="45" fillId="0" borderId="0" xfId="0" applyFont="1" applyBorder="1" applyAlignment="1">
      <alignment horizontal="left" vertical="center"/>
    </xf>
    <xf numFmtId="2" fontId="68" fillId="0" borderId="43" xfId="0" applyNumberFormat="1" applyFont="1" applyFill="1" applyBorder="1" applyAlignment="1">
      <alignment horizontal="center" vertical="center"/>
    </xf>
    <xf numFmtId="0" fontId="50" fillId="50" borderId="22" xfId="0" applyFont="1" applyFill="1" applyBorder="1" applyAlignment="1">
      <alignment horizontal="center" vertical="center"/>
    </xf>
    <xf numFmtId="0" fontId="50" fillId="50" borderId="22" xfId="0" applyNumberFormat="1" applyFont="1" applyFill="1" applyBorder="1" applyAlignment="1" applyProtection="1">
      <alignment horizontal="center" vertical="center" wrapText="1"/>
      <protection locked="0"/>
    </xf>
    <xf numFmtId="2" fontId="69" fillId="0" borderId="20" xfId="0" applyNumberFormat="1" applyFont="1" applyFill="1" applyBorder="1" applyAlignment="1">
      <alignment horizontal="left" vertical="center" wrapText="1"/>
    </xf>
    <xf numFmtId="0" fontId="69" fillId="48" borderId="20" xfId="0" applyNumberFormat="1" applyFont="1" applyFill="1" applyBorder="1" applyAlignment="1">
      <alignment horizontal="center" vertical="center"/>
    </xf>
    <xf numFmtId="2" fontId="65" fillId="0" borderId="20" xfId="0" applyNumberFormat="1" applyFont="1" applyFill="1" applyBorder="1" applyAlignment="1">
      <alignment horizontal="center" vertical="center"/>
    </xf>
    <xf numFmtId="2" fontId="45" fillId="48" borderId="20" xfId="0" applyNumberFormat="1" applyFont="1" applyFill="1" applyBorder="1" applyAlignment="1">
      <alignment horizontal="center" vertical="center"/>
    </xf>
    <xf numFmtId="0" fontId="52" fillId="0" borderId="23" xfId="1269" applyFont="1" applyBorder="1" applyAlignment="1">
      <alignment horizontal="center"/>
    </xf>
    <xf numFmtId="0" fontId="52" fillId="0" borderId="24" xfId="1269" applyFont="1" applyBorder="1" applyAlignment="1">
      <alignment horizontal="center"/>
    </xf>
    <xf numFmtId="0" fontId="52" fillId="0" borderId="25" xfId="1269" applyFont="1" applyBorder="1" applyAlignment="1">
      <alignment horizontal="center"/>
    </xf>
    <xf numFmtId="0" fontId="53" fillId="47" borderId="23" xfId="1269" applyFont="1" applyFill="1" applyBorder="1" applyAlignment="1">
      <alignment horizontal="center"/>
    </xf>
    <xf numFmtId="0" fontId="53" fillId="47" borderId="24" xfId="1269" applyFont="1" applyFill="1" applyBorder="1" applyAlignment="1">
      <alignment horizontal="center"/>
    </xf>
    <xf numFmtId="0" fontId="53" fillId="47" borderId="25" xfId="1269" applyFont="1" applyFill="1" applyBorder="1" applyAlignment="1">
      <alignment horizontal="center"/>
    </xf>
    <xf numFmtId="0" fontId="41" fillId="49" borderId="23" xfId="1269" applyFont="1" applyFill="1" applyBorder="1" applyAlignment="1">
      <alignment horizontal="center"/>
    </xf>
    <xf numFmtId="0" fontId="53" fillId="49" borderId="25" xfId="1269" applyFont="1" applyFill="1" applyBorder="1" applyAlignment="1">
      <alignment horizontal="center"/>
    </xf>
    <xf numFmtId="0" fontId="35" fillId="0" borderId="9" xfId="1269" applyFont="1" applyBorder="1" applyAlignment="1">
      <alignment horizontal="center" vertical="center" wrapText="1"/>
    </xf>
    <xf numFmtId="0" fontId="35" fillId="0" borderId="10" xfId="1269" applyFont="1" applyBorder="1" applyAlignment="1">
      <alignment horizontal="center" vertical="center" wrapText="1"/>
    </xf>
    <xf numFmtId="0" fontId="30" fillId="0" borderId="15" xfId="1269" applyFont="1" applyBorder="1" applyAlignment="1">
      <alignment horizontal="center" vertical="center" wrapText="1"/>
    </xf>
    <xf numFmtId="0" fontId="30" fillId="0" borderId="8" xfId="1269" applyFont="1" applyBorder="1" applyAlignment="1">
      <alignment horizontal="center" vertical="center" wrapText="1"/>
    </xf>
    <xf numFmtId="0" fontId="30" fillId="0" borderId="19" xfId="1269" applyFont="1" applyBorder="1" applyAlignment="1">
      <alignment horizontal="center" vertical="center" wrapText="1"/>
    </xf>
    <xf numFmtId="0" fontId="30" fillId="0" borderId="29" xfId="1269" applyFont="1" applyBorder="1" applyAlignment="1">
      <alignment horizontal="center" vertical="center" wrapText="1"/>
    </xf>
    <xf numFmtId="0" fontId="35" fillId="0" borderId="8" xfId="1269" applyFont="1" applyBorder="1" applyAlignment="1">
      <alignment horizontal="center" vertical="center" wrapText="1"/>
    </xf>
    <xf numFmtId="0" fontId="28" fillId="44" borderId="8" xfId="1269" applyFont="1" applyFill="1" applyBorder="1" applyAlignment="1">
      <alignment horizontal="center" vertical="center" wrapText="1"/>
    </xf>
    <xf numFmtId="0" fontId="28" fillId="44" borderId="19" xfId="1269" applyFont="1" applyFill="1" applyBorder="1" applyAlignment="1">
      <alignment horizontal="center" vertical="center" wrapText="1"/>
    </xf>
    <xf numFmtId="0" fontId="28" fillId="44" borderId="29" xfId="1269" applyFont="1" applyFill="1" applyBorder="1" applyAlignment="1">
      <alignment horizontal="center" vertical="center" wrapText="1"/>
    </xf>
    <xf numFmtId="0" fontId="25" fillId="0" borderId="0" xfId="1269" applyFont="1" applyBorder="1" applyAlignment="1">
      <alignment horizontal="center" vertical="center"/>
    </xf>
    <xf numFmtId="0" fontId="40" fillId="44" borderId="26" xfId="1269" applyFont="1" applyFill="1" applyBorder="1" applyAlignment="1">
      <alignment horizontal="center" vertical="center" wrapText="1"/>
    </xf>
    <xf numFmtId="0" fontId="40" fillId="44" borderId="28" xfId="1269" applyFont="1" applyFill="1" applyBorder="1" applyAlignment="1">
      <alignment horizontal="center" vertical="center" wrapText="1"/>
    </xf>
    <xf numFmtId="0" fontId="40" fillId="44" borderId="34" xfId="1269" applyFont="1" applyFill="1" applyBorder="1" applyAlignment="1">
      <alignment horizontal="center" vertical="center" wrapText="1"/>
    </xf>
    <xf numFmtId="0" fontId="40" fillId="44" borderId="39" xfId="1269" applyFont="1" applyFill="1" applyBorder="1" applyAlignment="1">
      <alignment horizontal="center" vertical="center" wrapText="1"/>
    </xf>
    <xf numFmtId="0" fontId="40" fillId="44" borderId="27" xfId="1269" applyFont="1" applyFill="1" applyBorder="1" applyAlignment="1">
      <alignment horizontal="center" vertical="center" wrapText="1"/>
    </xf>
    <xf numFmtId="0" fontId="40" fillId="44" borderId="36" xfId="1269" applyFont="1" applyFill="1" applyBorder="1" applyAlignment="1">
      <alignment horizontal="center" vertical="center" wrapText="1"/>
    </xf>
    <xf numFmtId="0" fontId="33" fillId="0" borderId="8" xfId="1269" applyFont="1" applyBorder="1" applyAlignment="1">
      <alignment horizontal="center" vertical="center" wrapText="1"/>
    </xf>
    <xf numFmtId="0" fontId="33" fillId="0" borderId="9" xfId="1269" applyFont="1" applyBorder="1" applyAlignment="1">
      <alignment horizontal="center" vertical="center" wrapText="1"/>
    </xf>
    <xf numFmtId="0" fontId="33" fillId="0" borderId="21" xfId="1269" applyFont="1" applyBorder="1" applyAlignment="1">
      <alignment horizontal="center" vertical="center" wrapText="1"/>
    </xf>
    <xf numFmtId="0" fontId="33" fillId="0" borderId="22" xfId="1269" applyFont="1" applyBorder="1" applyAlignment="1">
      <alignment horizontal="center" vertical="center" wrapText="1"/>
    </xf>
    <xf numFmtId="0" fontId="33" fillId="0" borderId="17" xfId="1269" applyFont="1" applyBorder="1" applyAlignment="1">
      <alignment horizontal="center" vertical="center"/>
    </xf>
    <xf numFmtId="0" fontId="33" fillId="0" borderId="15" xfId="1269" applyFont="1" applyBorder="1" applyAlignment="1">
      <alignment horizontal="center" vertical="center"/>
    </xf>
    <xf numFmtId="0" fontId="40" fillId="44" borderId="0" xfId="1269" applyFont="1" applyFill="1" applyBorder="1" applyAlignment="1">
      <alignment horizontal="center" vertical="center" wrapText="1"/>
    </xf>
    <xf numFmtId="0" fontId="1" fillId="0" borderId="13" xfId="1269" applyFont="1" applyBorder="1" applyAlignment="1">
      <alignment horizontal="right"/>
    </xf>
    <xf numFmtId="0" fontId="33" fillId="0" borderId="29" xfId="1269" applyFont="1" applyBorder="1" applyAlignment="1">
      <alignment horizontal="center" vertical="center" wrapText="1"/>
    </xf>
    <xf numFmtId="0" fontId="28" fillId="44" borderId="9" xfId="1269" applyFont="1" applyFill="1" applyBorder="1" applyAlignment="1">
      <alignment horizontal="center" vertical="center" wrapText="1"/>
    </xf>
    <xf numFmtId="0" fontId="40" fillId="44" borderId="9" xfId="1269" applyFont="1" applyFill="1" applyBorder="1" applyAlignment="1">
      <alignment horizontal="center" vertical="center" wrapText="1"/>
    </xf>
    <xf numFmtId="0" fontId="36" fillId="0" borderId="9" xfId="1269" applyFont="1" applyBorder="1" applyAlignment="1">
      <alignment horizontal="center" vertical="center" wrapText="1"/>
    </xf>
    <xf numFmtId="0" fontId="1" fillId="0" borderId="9" xfId="1269" applyBorder="1" applyAlignment="1">
      <alignment horizontal="center" vertical="center" wrapText="1"/>
    </xf>
  </cellXfs>
  <cellStyles count="1729">
    <cellStyle name=" 1" xfId="1"/>
    <cellStyle name=" 1 10" xfId="2"/>
    <cellStyle name=" 1 11" xfId="3"/>
    <cellStyle name=" 1 2" xfId="4"/>
    <cellStyle name=" 1 3" xfId="5"/>
    <cellStyle name=" 1 4" xfId="6"/>
    <cellStyle name=" 1 5" xfId="7"/>
    <cellStyle name=" 1 6" xfId="8"/>
    <cellStyle name=" 1 7" xfId="9"/>
    <cellStyle name=" 1 8" xfId="10"/>
    <cellStyle name=" 1 9" xfId="11"/>
    <cellStyle name="_~1613671" xfId="12"/>
    <cellStyle name="_~1613671 2" xfId="13"/>
    <cellStyle name="_~1613671 3" xfId="14"/>
    <cellStyle name="_~1613671 4" xfId="15"/>
    <cellStyle name="_~1613671 4_Прайс Билдж розница от 03.07.17." xfId="16"/>
    <cellStyle name="_~1613671_Прайс Билдж розница от 03.07.17." xfId="17"/>
    <cellStyle name="_~7644457" xfId="18"/>
    <cellStyle name="_~7644457 2" xfId="19"/>
    <cellStyle name="_~7644457 3" xfId="20"/>
    <cellStyle name="_~7644457 4" xfId="21"/>
    <cellStyle name="_~7644457 4_Прайс Билдж розница от 03.07.17." xfId="22"/>
    <cellStyle name="_~7644457_Прайс Билдж розница от 03.07.17." xfId="23"/>
    <cellStyle name="_ET_STYLE_NoName_00_" xfId="24"/>
    <cellStyle name="_ET_STYLE_NoName_00__м.черепица дилер" xfId="25"/>
    <cellStyle name="_ET_STYLE_NoName_00__металлосайдинг дилер" xfId="26"/>
    <cellStyle name="_ET_STYLE_NoName_00__Прайс Билдж дилер АСЗ от 05.10.15" xfId="27"/>
    <cellStyle name="_ET_STYLE_NoName_00__Прайс Билдж дилер АСЗ от 06.10.15" xfId="28"/>
    <cellStyle name="_ET_STYLE_NoName_00__Прайс Билдж дилер АСЗ от 22.12.14" xfId="29"/>
    <cellStyle name="_ET_STYLE_NoName_00__Прайс Билдж дилер АСЗ от 22.12.14_металлосайдинг дилер" xfId="30"/>
    <cellStyle name="_ET_STYLE_NoName_00__Прайс Билдж дилер АСЗ от 22.12.14_Прайс Билдж дилерА от 02.12.15" xfId="31"/>
    <cellStyle name="_ET_STYLE_NoName_00__Прайс Билдж дилер АСЗ от 22.12.14_Прайс Билдж дилерА от 25.11.15" xfId="32"/>
    <cellStyle name="_ET_STYLE_NoName_00__Прайс Билдж дилер АСЗ от 22.12.14_Прайс Билдж дилерА от05.10.15" xfId="33"/>
    <cellStyle name="_ET_STYLE_NoName_00__Прайс Билдж дилер АСЗ от 22.12.14_Прайс Билдж дилерА от10.09.15" xfId="34"/>
    <cellStyle name="_ET_STYLE_NoName_00__Прайс Билдж дилерА от 12.01.15" xfId="35"/>
    <cellStyle name="_ET_STYLE_NoName_00__Прайс Билдж дилерА от 12.01.15_м.черепица дилер" xfId="36"/>
    <cellStyle name="_ET_STYLE_NoName_00__Прайс Билдж дилерА от 12.01.15_металлосайдинг дилер" xfId="37"/>
    <cellStyle name="_ET_STYLE_NoName_00__Прайс Билдж дилерА от 12.01.15_Прайс Билдж дилер АСЗ от 05.10.15" xfId="38"/>
    <cellStyle name="_ET_STYLE_NoName_00__Прайс Билдж дилерА от 12.01.15_Прайс Билдж дилер АСЗ от 06.10.15" xfId="39"/>
    <cellStyle name="_ET_STYLE_NoName_00__Прайс Билдж дилерА от 12.01.15_Прайс Билдж розница от 21.07.15" xfId="40"/>
    <cellStyle name="_ET_STYLE_NoName_00__Прайс Билдж дилерА от 12.01.15_Прайс Билдж ррозница от 25.11.15" xfId="41"/>
    <cellStyle name="_ET_STYLE_NoName_00__Прайс Билдж дилерА от 12.01.15_профнастил дилер" xfId="42"/>
    <cellStyle name="_ET_STYLE_NoName_00__Прайс Билдж розница от 10.08.15" xfId="43"/>
    <cellStyle name="_ET_STYLE_NoName_00__Прайс Билдж розница от 13.07.15" xfId="44"/>
    <cellStyle name="_ET_STYLE_NoName_00__Прайс Билдж розница от 21.07.15" xfId="45"/>
    <cellStyle name="_ET_STYLE_NoName_00__Прайс Билдж ррозница от 25.11.15" xfId="46"/>
    <cellStyle name="_ET_STYLE_NoName_00__профнастил дилер" xfId="47"/>
    <cellStyle name="_ET_STYLE_NoName_00__строит. леса " xfId="48"/>
    <cellStyle name="_ET_STYLE_NoName_00__Утеплитель" xfId="49"/>
    <cellStyle name="_price_der_nov_раб" xfId="50"/>
    <cellStyle name="_price_der_nov_раб_~2260219" xfId="51"/>
    <cellStyle name="_price_der_nov_раб_~2260219 2" xfId="52"/>
    <cellStyle name="_price_der_nov_раб_~2260219_~2131575" xfId="53"/>
    <cellStyle name="_price_der_nov_раб_~2260219_Decra" xfId="54"/>
    <cellStyle name="_price_der_nov_раб_~2260219_Vilpe" xfId="55"/>
    <cellStyle name="_price_der_nov_раб_~2260219_Дилерский прайс-лист 03.03.14 Единый+Q35" xfId="56"/>
    <cellStyle name="_price_der_nov_раб_~2260219_Макет временных" xfId="57"/>
    <cellStyle name="_price_der_nov_раб_~2260219_Прайс полный ассортимент Центр от 09.07" xfId="58"/>
    <cellStyle name="_price_der_nov_раб_~2260219_Розничный прайс-лист 03.03.14" xfId="59"/>
    <cellStyle name="_price_der_nov_раб_~2260219_Розничный прайс-лист 07.04.14" xfId="60"/>
    <cellStyle name="_price_der_nov_раб_~2260219_Цокольные панели Ванштайн" xfId="61"/>
    <cellStyle name="_price_der_nov_раб_~2260219_Цокольные панели Ванштайн 2" xfId="62"/>
    <cellStyle name="_price_der_nov_раб_~6447645" xfId="63"/>
    <cellStyle name="_price_der_nov_раб_GL розничный прайс Краснодар - 03.09.12" xfId="64"/>
    <cellStyle name="_price_der_nov_раб_дилерский прайс - лист 17.02.12 ПИТЕР" xfId="65"/>
    <cellStyle name="_price_der_nov_раб_дилерский прайс - лист 18.04.12" xfId="66"/>
    <cellStyle name="_price_der_nov_раб_дилерский прайс - лист 18.04.12_м.черепица дилер" xfId="67"/>
    <cellStyle name="_price_der_nov_раб_дилерский прайс - лист 18.04.12_металлосайдинг дилер" xfId="68"/>
    <cellStyle name="_price_der_nov_раб_дилерский прайс - лист 18.04.12_Прайс Билдж дилер АСЗ от 05.10.15" xfId="69"/>
    <cellStyle name="_price_der_nov_раб_дилерский прайс - лист 18.04.12_Прайс Билдж дилер АСЗ от 06.10.15" xfId="70"/>
    <cellStyle name="_price_der_nov_раб_дилерский прайс - лист 18.04.12_Прайс Билдж дилер АСЗ от 22.12.14" xfId="71"/>
    <cellStyle name="_price_der_nov_раб_дилерский прайс - лист 18.04.12_Прайс Билдж дилер АСЗ от 22.12.14_металлосайдинг дилер" xfId="72"/>
    <cellStyle name="_price_der_nov_раб_дилерский прайс - лист 18.04.12_Прайс Билдж дилер АСЗ от 22.12.14_Прайс Билдж дилерА от 02.12.15" xfId="73"/>
    <cellStyle name="_price_der_nov_раб_дилерский прайс - лист 18.04.12_Прайс Билдж дилер АСЗ от 22.12.14_Прайс Билдж дилерА от 25.11.15" xfId="74"/>
    <cellStyle name="_price_der_nov_раб_дилерский прайс - лист 18.04.12_Прайс Билдж дилер АСЗ от 22.12.14_Прайс Билдж дилерА от05.10.15" xfId="75"/>
    <cellStyle name="_price_der_nov_раб_дилерский прайс - лист 18.04.12_Прайс Билдж дилер АСЗ от 22.12.14_Прайс Билдж дилерА от10.09.15" xfId="76"/>
    <cellStyle name="_price_der_nov_раб_дилерский прайс - лист 18.04.12_Прайс Билдж розница от 21.07.15" xfId="77"/>
    <cellStyle name="_price_der_nov_раб_дилерский прайс - лист 18.04.12_Прайс Билдж ррозница от 25.11.15" xfId="78"/>
    <cellStyle name="_price_der_nov_раб_дилерский прайс - лист 18.04.12_профнастил дилер" xfId="79"/>
    <cellStyle name="_price_der_nov_раб_м.черепица дилер" xfId="80"/>
    <cellStyle name="_price_der_nov_раб_металлосайдинг дилер" xfId="81"/>
    <cellStyle name="_price_der_nov_раб_Прайс Билдж дилер АСЗ от 05.10.15" xfId="82"/>
    <cellStyle name="_price_der_nov_раб_Прайс Билдж дилер АСЗ от 06.10.15" xfId="83"/>
    <cellStyle name="_price_der_nov_раб_Прайс Билдж дилер АСЗ от 22.12.14" xfId="84"/>
    <cellStyle name="_price_der_nov_раб_Прайс Билдж дилер АСЗ от 22.12.14_металлосайдинг дилер" xfId="85"/>
    <cellStyle name="_price_der_nov_раб_Прайс Билдж дилер АСЗ от 22.12.14_Прайс Билдж дилерА от 02.12.15" xfId="86"/>
    <cellStyle name="_price_der_nov_раб_Прайс Билдж дилер АСЗ от 22.12.14_Прайс Билдж дилерА от 25.11.15" xfId="87"/>
    <cellStyle name="_price_der_nov_раб_Прайс Билдж дилер АСЗ от 22.12.14_Прайс Билдж дилерА от05.10.15" xfId="88"/>
    <cellStyle name="_price_der_nov_раб_Прайс Билдж дилер АСЗ от 22.12.14_Прайс Билдж дилерА от10.09.15" xfId="89"/>
    <cellStyle name="_price_der_nov_раб_Прайс Билдж розница от 21.07.15" xfId="90"/>
    <cellStyle name="_price_der_nov_раб_Прайс Билдж ррозница от 25.11.15" xfId="91"/>
    <cellStyle name="_price_der_nov_раб_Прайс для Краснодара 2" xfId="92"/>
    <cellStyle name="_price_der_nov_раб_Прайс полный ассортимент 22.12.2010  Центр" xfId="93"/>
    <cellStyle name="_price_der_nov_раб_Прайс полный ассортимент от 06.02.12 Одинцово" xfId="94"/>
    <cellStyle name="_price_der_nov_раб_Прайс полный ассортимент от 06.02.12 Центр" xfId="95"/>
    <cellStyle name="_price_der_nov_раб_Прайс полный ассортимент от 19.10.2011 Центр" xfId="96"/>
    <cellStyle name="_price_der_nov_раб_Прайс полный ассортимент СПБ  от 22.08.12 Ворота + фигурный профнастил" xfId="97"/>
    <cellStyle name="_price_der_nov_раб_Прайс полный ассортимент Центр от 01.06.12" xfId="98"/>
    <cellStyle name="_price_der_nov_раб_Прайс полный ассортимент Центр от 01.06.12_м.черепица дилер" xfId="99"/>
    <cellStyle name="_price_der_nov_раб_Прайс полный ассортимент Центр от 01.06.12_металлосайдинг дилер" xfId="100"/>
    <cellStyle name="_price_der_nov_раб_Прайс полный ассортимент Центр от 01.06.12_Прайс Билдж дилер АСЗ от 05.10.15" xfId="101"/>
    <cellStyle name="_price_der_nov_раб_Прайс полный ассортимент Центр от 01.06.12_Прайс Билдж дилер АСЗ от 06.10.15" xfId="102"/>
    <cellStyle name="_price_der_nov_раб_Прайс полный ассортимент Центр от 01.06.12_Прайс Билдж дилер АСЗ от 22.12.14" xfId="103"/>
    <cellStyle name="_price_der_nov_раб_Прайс полный ассортимент Центр от 01.06.12_Прайс Билдж дилер АСЗ от 22.12.14_металлосайдинг дилер" xfId="104"/>
    <cellStyle name="_price_der_nov_раб_Прайс полный ассортимент Центр от 01.06.12_Прайс Билдж дилер АСЗ от 22.12.14_Прайс Билдж дилерА от 02.12.15" xfId="105"/>
    <cellStyle name="_price_der_nov_раб_Прайс полный ассортимент Центр от 01.06.12_Прайс Билдж дилер АСЗ от 22.12.14_Прайс Билдж дилерА от 25.11.15" xfId="106"/>
    <cellStyle name="_price_der_nov_раб_Прайс полный ассортимент Центр от 01.06.12_Прайс Билдж дилер АСЗ от 22.12.14_Прайс Билдж дилерА от05.10.15" xfId="107"/>
    <cellStyle name="_price_der_nov_раб_Прайс полный ассортимент Центр от 01.06.12_Прайс Билдж дилер АСЗ от 22.12.14_Прайс Билдж дилерА от10.09.15" xfId="108"/>
    <cellStyle name="_price_der_nov_раб_Прайс полный ассортимент Центр от 01.06.12_Прайс Билдж розница от 21.07.15" xfId="109"/>
    <cellStyle name="_price_der_nov_раб_Прайс полный ассортимент Центр от 01.06.12_Прайс Билдж ррозница от 25.11.15" xfId="110"/>
    <cellStyle name="_price_der_nov_раб_Прайс полный ассортимент Центр от 01.06.12_профнастил дилер" xfId="111"/>
    <cellStyle name="_price_der_nov_раб_Прайс полный ассортимент Центр от 06.08.12" xfId="112"/>
    <cellStyle name="_price_der_nov_раб_Прайс полный ассортимент Центр от 22.08.12 Ворота + фигурный профнастил" xfId="113"/>
    <cellStyle name="_price_der_nov_раб_Прайс полный ассортимент Центр от 29.06.12" xfId="114"/>
    <cellStyle name="_price_der_nov_раб_профнастил дилер" xfId="115"/>
    <cellStyle name="_Книга2" xfId="116"/>
    <cellStyle name="_Книга2 10" xfId="117"/>
    <cellStyle name="_Книга2 10_Прайс Билдж розница от 03.07.17." xfId="118"/>
    <cellStyle name="_Книга2 11" xfId="119"/>
    <cellStyle name="_Книга2 11_Прайс Билдж розница от 03.07.17." xfId="120"/>
    <cellStyle name="_Книга2 12" xfId="121"/>
    <cellStyle name="_Книга2 12_Прайс Билдж розница от 03.07.17." xfId="122"/>
    <cellStyle name="_Книга2 13" xfId="123"/>
    <cellStyle name="_Книга2 13_Прайс Билдж розница от 03.07.17." xfId="124"/>
    <cellStyle name="_Книга2 14" xfId="125"/>
    <cellStyle name="_Книга2 14_Прайс Билдж розница от 03.07.17." xfId="126"/>
    <cellStyle name="_Книга2 2" xfId="127"/>
    <cellStyle name="_Книга2 3" xfId="128"/>
    <cellStyle name="_Книга2 4" xfId="129"/>
    <cellStyle name="_Книга2 4_Прайс Билдж розница от 03.07.17." xfId="130"/>
    <cellStyle name="_Книга2 5" xfId="131"/>
    <cellStyle name="_Книга2 5_Прайс Билдж розница от 03.07.17." xfId="132"/>
    <cellStyle name="_Книга2 6" xfId="133"/>
    <cellStyle name="_Книга2 6_Прайс Билдж розница от 03.07.17." xfId="134"/>
    <cellStyle name="_Книга2 7" xfId="135"/>
    <cellStyle name="_Книга2 7_Прайс Билдж розница от 03.07.17." xfId="136"/>
    <cellStyle name="_Книга2 8" xfId="137"/>
    <cellStyle name="_Книга2 8_Прайс Билдж розница от 03.07.17." xfId="138"/>
    <cellStyle name="_Книга2 9" xfId="139"/>
    <cellStyle name="_Книга2 9_Прайс Билдж розница от 03.07.17." xfId="140"/>
    <cellStyle name="_Книга2_Вентиляция Krovent 16.06.15" xfId="141"/>
    <cellStyle name="_Книга2_Вентиляция Krovent 16.06.15_Прайс Билдж розница от 03.07.17." xfId="142"/>
    <cellStyle name="_Книга2_инструмент" xfId="143"/>
    <cellStyle name="_Книга2_инструмент_Прайс Билдж розница от 03.07.17." xfId="144"/>
    <cellStyle name="_Книга2_м.черепица дилер" xfId="145"/>
    <cellStyle name="_Книга2_металлосайдинг дилер" xfId="146"/>
    <cellStyle name="_Книга2_Прайс Билдж дилер АСЗ от 05.10.15" xfId="147"/>
    <cellStyle name="_Книга2_Прайс Билдж дилер АСЗ от 06.10.15" xfId="148"/>
    <cellStyle name="_Книга2_Прайс Билдж дилер АСЗ от 22.12.14" xfId="149"/>
    <cellStyle name="_Книга2_Прайс Билдж дилер АСЗ от 22.12.14_металлосайдинг дилер" xfId="150"/>
    <cellStyle name="_Книга2_Прайс Билдж дилер АСЗ от 22.12.14_Прайс Билдж дилерА от 02.12.15" xfId="151"/>
    <cellStyle name="_Книга2_Прайс Билдж дилер АСЗ от 22.12.14_Прайс Билдж дилерА от 25.11.15" xfId="152"/>
    <cellStyle name="_Книга2_Прайс Билдж дилер АСЗ от 22.12.14_Прайс Билдж дилерА от05.10.15" xfId="153"/>
    <cellStyle name="_Книга2_Прайс Билдж дилер АСЗ от 22.12.14_Прайс Билдж дилерА от10.09.15" xfId="154"/>
    <cellStyle name="_Книга2_Прайс Билдж дилерА от 12.01.15" xfId="155"/>
    <cellStyle name="_Книга2_Прайс Билдж дилерА от 12.01.15_м.черепица дилер" xfId="156"/>
    <cellStyle name="_Книга2_Прайс Билдж дилерА от 12.01.15_металлосайдинг дилер" xfId="157"/>
    <cellStyle name="_Книга2_Прайс Билдж дилерА от 12.01.15_Прайс Билдж дилер АСЗ от 05.10.15" xfId="158"/>
    <cellStyle name="_Книга2_Прайс Билдж дилерА от 12.01.15_Прайс Билдж дилер АСЗ от 06.10.15" xfId="159"/>
    <cellStyle name="_Книга2_Прайс Билдж дилерА от 12.01.15_Прайс Билдж розница от 21.07.15" xfId="160"/>
    <cellStyle name="_Книга2_Прайс Билдж дилерА от 12.01.15_Прайс Билдж ррозница от 25.11.15" xfId="161"/>
    <cellStyle name="_Книга2_Прайс Билдж дилерА от 12.01.15_профнастил дилер" xfId="162"/>
    <cellStyle name="_Книга2_Прайс Билдж розница от 10.08.15" xfId="163"/>
    <cellStyle name="_Книга2_Прайс Билдж розница от 13.07.15" xfId="164"/>
    <cellStyle name="_Книга2_Прайс Билдж розница от 21.07.15" xfId="165"/>
    <cellStyle name="_Книга2_Прайс Билдж ррозница от 25.11.15" xfId="166"/>
    <cellStyle name="_Книга2_профнастил дилер" xfId="167"/>
    <cellStyle name="_Книга2_строит. леса " xfId="168"/>
    <cellStyle name="_Книга2_Утеплитель" xfId="169"/>
    <cellStyle name="_лестницы" xfId="170"/>
    <cellStyle name="_лестницы 2" xfId="171"/>
    <cellStyle name="_лестницы 3" xfId="172"/>
    <cellStyle name="_лестницы 4" xfId="173"/>
    <cellStyle name="_лестницы 4_Прайс Билдж розница от 03.07.17." xfId="174"/>
    <cellStyle name="_лестницы_Прайс Билдж розница от 03.07.17." xfId="175"/>
    <cellStyle name="_прайс-лист розница" xfId="176"/>
    <cellStyle name="_прайс-лист розница 2" xfId="177"/>
    <cellStyle name="_прайс-лист розница 3" xfId="178"/>
    <cellStyle name="_прайс-лист розница 4" xfId="179"/>
    <cellStyle name="_прайс-лист розница 4_Прайс Билдж розница от 03.07.17." xfId="180"/>
    <cellStyle name="_прайс-лист розница_Прайс Билдж розница от 03.07.17." xfId="181"/>
    <cellStyle name="0,0_x000d__x000a_NA_x000d__x000a_" xfId="182"/>
    <cellStyle name="-15-1976" xfId="183"/>
    <cellStyle name="-15-1976 10" xfId="184"/>
    <cellStyle name="-15-1976 11" xfId="185"/>
    <cellStyle name="-15-1976 12" xfId="186"/>
    <cellStyle name="-15-1976 13" xfId="187"/>
    <cellStyle name="-15-1976 14" xfId="188"/>
    <cellStyle name="-15-1976 2" xfId="189"/>
    <cellStyle name="-15-1976 3" xfId="190"/>
    <cellStyle name="-15-1976 4" xfId="191"/>
    <cellStyle name="-15-1976 5" xfId="192"/>
    <cellStyle name="-15-1976 6" xfId="193"/>
    <cellStyle name="-15-1976 7" xfId="194"/>
    <cellStyle name="-15-1976 8" xfId="195"/>
    <cellStyle name="-15-1976 9" xfId="196"/>
    <cellStyle name="-15-1976_Вентиляция Krovent 16.06.15" xfId="197"/>
    <cellStyle name="20% - Акцент1" xfId="198" builtinId="30" customBuiltin="1"/>
    <cellStyle name="20% - Акцент1 2" xfId="199"/>
    <cellStyle name="20% - Акцент1 2 10" xfId="200"/>
    <cellStyle name="20% - Акцент1 2 11" xfId="201"/>
    <cellStyle name="20% - Акцент1 2 12" xfId="202"/>
    <cellStyle name="20% - Акцент1 2 13" xfId="203"/>
    <cellStyle name="20% - Акцент1 2 14" xfId="204"/>
    <cellStyle name="20% - Акцент1 2 2" xfId="205"/>
    <cellStyle name="20% - Акцент1 2 2 10" xfId="206"/>
    <cellStyle name="20% - Акцент1 2 2 11" xfId="207"/>
    <cellStyle name="20% - Акцент1 2 2 2" xfId="208"/>
    <cellStyle name="20% - Акцент1 2 2 3" xfId="209"/>
    <cellStyle name="20% - Акцент1 2 2 4" xfId="210"/>
    <cellStyle name="20% - Акцент1 2 2 5" xfId="211"/>
    <cellStyle name="20% - Акцент1 2 2 6" xfId="212"/>
    <cellStyle name="20% - Акцент1 2 2 7" xfId="213"/>
    <cellStyle name="20% - Акцент1 2 2 8" xfId="214"/>
    <cellStyle name="20% - Акцент1 2 2 9" xfId="215"/>
    <cellStyle name="20% - Акцент1 2 2_Прайс Билдж розница от 03.07.17." xfId="216"/>
    <cellStyle name="20% - Акцент1 2 3" xfId="217"/>
    <cellStyle name="20% - Акцент1 2 3 10" xfId="218"/>
    <cellStyle name="20% - Акцент1 2 3 11" xfId="219"/>
    <cellStyle name="20% - Акцент1 2 3 2" xfId="220"/>
    <cellStyle name="20% - Акцент1 2 3 3" xfId="221"/>
    <cellStyle name="20% - Акцент1 2 3 4" xfId="222"/>
    <cellStyle name="20% - Акцент1 2 3 5" xfId="223"/>
    <cellStyle name="20% - Акцент1 2 3 6" xfId="224"/>
    <cellStyle name="20% - Акцент1 2 3 7" xfId="225"/>
    <cellStyle name="20% - Акцент1 2 3 8" xfId="226"/>
    <cellStyle name="20% - Акцент1 2 3 9" xfId="227"/>
    <cellStyle name="20% - Акцент1 2 4" xfId="228"/>
    <cellStyle name="20% - Акцент1 2 4 10" xfId="229"/>
    <cellStyle name="20% - Акцент1 2 4 11" xfId="230"/>
    <cellStyle name="20% - Акцент1 2 4 2" xfId="231"/>
    <cellStyle name="20% - Акцент1 2 4 3" xfId="232"/>
    <cellStyle name="20% - Акцент1 2 4 4" xfId="233"/>
    <cellStyle name="20% - Акцент1 2 4 5" xfId="234"/>
    <cellStyle name="20% - Акцент1 2 4 6" xfId="235"/>
    <cellStyle name="20% - Акцент1 2 4 7" xfId="236"/>
    <cellStyle name="20% - Акцент1 2 4 8" xfId="237"/>
    <cellStyle name="20% - Акцент1 2 4 9" xfId="238"/>
    <cellStyle name="20% - Акцент1 2 4_Прайс Билдж розница от 03.07.17." xfId="239"/>
    <cellStyle name="20% - Акцент1 2 5" xfId="240"/>
    <cellStyle name="20% - Акцент1 2 6" xfId="241"/>
    <cellStyle name="20% - Акцент1 2 7" xfId="242"/>
    <cellStyle name="20% - Акцент1 2 8" xfId="243"/>
    <cellStyle name="20% - Акцент1 2 9" xfId="244"/>
    <cellStyle name="20% - Акцент1 2_инструмент" xfId="245"/>
    <cellStyle name="20% - Акцент1 3" xfId="246"/>
    <cellStyle name="20% - Акцент1 3 10" xfId="247"/>
    <cellStyle name="20% - Акцент1 3 11" xfId="248"/>
    <cellStyle name="20% - Акцент1 3 2" xfId="249"/>
    <cellStyle name="20% - Акцент1 3 3" xfId="250"/>
    <cellStyle name="20% - Акцент1 3 4" xfId="251"/>
    <cellStyle name="20% - Акцент1 3 5" xfId="252"/>
    <cellStyle name="20% - Акцент1 3 6" xfId="253"/>
    <cellStyle name="20% - Акцент1 3 7" xfId="254"/>
    <cellStyle name="20% - Акцент1 3 8" xfId="255"/>
    <cellStyle name="20% - Акцент1 3 9" xfId="256"/>
    <cellStyle name="20% - Акцент1 3_Прайс Билдж розница от 03.07.17." xfId="257"/>
    <cellStyle name="20% - Акцент2" xfId="258" builtinId="34" customBuiltin="1"/>
    <cellStyle name="20% - Акцент2 2" xfId="259"/>
    <cellStyle name="20% - Акцент2 2 10" xfId="260"/>
    <cellStyle name="20% - Акцент2 2 11" xfId="261"/>
    <cellStyle name="20% - Акцент2 2 12" xfId="262"/>
    <cellStyle name="20% - Акцент2 2 13" xfId="263"/>
    <cellStyle name="20% - Акцент2 2 14" xfId="264"/>
    <cellStyle name="20% - Акцент2 2 2" xfId="265"/>
    <cellStyle name="20% - Акцент2 2 2 10" xfId="266"/>
    <cellStyle name="20% - Акцент2 2 2 11" xfId="267"/>
    <cellStyle name="20% - Акцент2 2 2 2" xfId="268"/>
    <cellStyle name="20% - Акцент2 2 2 3" xfId="269"/>
    <cellStyle name="20% - Акцент2 2 2 4" xfId="270"/>
    <cellStyle name="20% - Акцент2 2 2 5" xfId="271"/>
    <cellStyle name="20% - Акцент2 2 2 6" xfId="272"/>
    <cellStyle name="20% - Акцент2 2 2 7" xfId="273"/>
    <cellStyle name="20% - Акцент2 2 2 8" xfId="274"/>
    <cellStyle name="20% - Акцент2 2 2 9" xfId="275"/>
    <cellStyle name="20% - Акцент2 2 2_Прайс Билдж розница от 03.07.17." xfId="276"/>
    <cellStyle name="20% - Акцент2 2 3" xfId="277"/>
    <cellStyle name="20% - Акцент2 2 3 10" xfId="278"/>
    <cellStyle name="20% - Акцент2 2 3 11" xfId="279"/>
    <cellStyle name="20% - Акцент2 2 3 2" xfId="280"/>
    <cellStyle name="20% - Акцент2 2 3 3" xfId="281"/>
    <cellStyle name="20% - Акцент2 2 3 4" xfId="282"/>
    <cellStyle name="20% - Акцент2 2 3 5" xfId="283"/>
    <cellStyle name="20% - Акцент2 2 3 6" xfId="284"/>
    <cellStyle name="20% - Акцент2 2 3 7" xfId="285"/>
    <cellStyle name="20% - Акцент2 2 3 8" xfId="286"/>
    <cellStyle name="20% - Акцент2 2 3 9" xfId="287"/>
    <cellStyle name="20% - Акцент2 2 4" xfId="288"/>
    <cellStyle name="20% - Акцент2 2 4 10" xfId="289"/>
    <cellStyle name="20% - Акцент2 2 4 11" xfId="290"/>
    <cellStyle name="20% - Акцент2 2 4 2" xfId="291"/>
    <cellStyle name="20% - Акцент2 2 4 3" xfId="292"/>
    <cellStyle name="20% - Акцент2 2 4 4" xfId="293"/>
    <cellStyle name="20% - Акцент2 2 4 5" xfId="294"/>
    <cellStyle name="20% - Акцент2 2 4 6" xfId="295"/>
    <cellStyle name="20% - Акцент2 2 4 7" xfId="296"/>
    <cellStyle name="20% - Акцент2 2 4 8" xfId="297"/>
    <cellStyle name="20% - Акцент2 2 4 9" xfId="298"/>
    <cellStyle name="20% - Акцент2 2 4_Прайс Билдж розница от 03.07.17." xfId="299"/>
    <cellStyle name="20% - Акцент2 2 5" xfId="300"/>
    <cellStyle name="20% - Акцент2 2 6" xfId="301"/>
    <cellStyle name="20% - Акцент2 2 7" xfId="302"/>
    <cellStyle name="20% - Акцент2 2 8" xfId="303"/>
    <cellStyle name="20% - Акцент2 2 9" xfId="304"/>
    <cellStyle name="20% - Акцент2 2_инструмент" xfId="305"/>
    <cellStyle name="20% - Акцент2 3" xfId="306"/>
    <cellStyle name="20% - Акцент2 3 10" xfId="307"/>
    <cellStyle name="20% - Акцент2 3 11" xfId="308"/>
    <cellStyle name="20% - Акцент2 3 2" xfId="309"/>
    <cellStyle name="20% - Акцент2 3 3" xfId="310"/>
    <cellStyle name="20% - Акцент2 3 4" xfId="311"/>
    <cellStyle name="20% - Акцент2 3 5" xfId="312"/>
    <cellStyle name="20% - Акцент2 3 6" xfId="313"/>
    <cellStyle name="20% - Акцент2 3 7" xfId="314"/>
    <cellStyle name="20% - Акцент2 3 8" xfId="315"/>
    <cellStyle name="20% - Акцент2 3 9" xfId="316"/>
    <cellStyle name="20% - Акцент2 3_Прайс Билдж розница от 03.07.17." xfId="317"/>
    <cellStyle name="20% - Акцент3" xfId="318" builtinId="38" customBuiltin="1"/>
    <cellStyle name="20% - Акцент3 2" xfId="319"/>
    <cellStyle name="20% - Акцент3 2 10" xfId="320"/>
    <cellStyle name="20% - Акцент3 2 11" xfId="321"/>
    <cellStyle name="20% - Акцент3 2 12" xfId="322"/>
    <cellStyle name="20% - Акцент3 2 13" xfId="323"/>
    <cellStyle name="20% - Акцент3 2 14" xfId="324"/>
    <cellStyle name="20% - Акцент3 2 2" xfId="325"/>
    <cellStyle name="20% - Акцент3 2 2 10" xfId="326"/>
    <cellStyle name="20% - Акцент3 2 2 11" xfId="327"/>
    <cellStyle name="20% - Акцент3 2 2 2" xfId="328"/>
    <cellStyle name="20% - Акцент3 2 2 3" xfId="329"/>
    <cellStyle name="20% - Акцент3 2 2 4" xfId="330"/>
    <cellStyle name="20% - Акцент3 2 2 5" xfId="331"/>
    <cellStyle name="20% - Акцент3 2 2 6" xfId="332"/>
    <cellStyle name="20% - Акцент3 2 2 7" xfId="333"/>
    <cellStyle name="20% - Акцент3 2 2 8" xfId="334"/>
    <cellStyle name="20% - Акцент3 2 2 9" xfId="335"/>
    <cellStyle name="20% - Акцент3 2 2_Прайс Билдж розница от 03.07.17." xfId="336"/>
    <cellStyle name="20% - Акцент3 2 3" xfId="337"/>
    <cellStyle name="20% - Акцент3 2 3 10" xfId="338"/>
    <cellStyle name="20% - Акцент3 2 3 11" xfId="339"/>
    <cellStyle name="20% - Акцент3 2 3 2" xfId="340"/>
    <cellStyle name="20% - Акцент3 2 3 3" xfId="341"/>
    <cellStyle name="20% - Акцент3 2 3 4" xfId="342"/>
    <cellStyle name="20% - Акцент3 2 3 5" xfId="343"/>
    <cellStyle name="20% - Акцент3 2 3 6" xfId="344"/>
    <cellStyle name="20% - Акцент3 2 3 7" xfId="345"/>
    <cellStyle name="20% - Акцент3 2 3 8" xfId="346"/>
    <cellStyle name="20% - Акцент3 2 3 9" xfId="347"/>
    <cellStyle name="20% - Акцент3 2 4" xfId="348"/>
    <cellStyle name="20% - Акцент3 2 4 10" xfId="349"/>
    <cellStyle name="20% - Акцент3 2 4 11" xfId="350"/>
    <cellStyle name="20% - Акцент3 2 4 2" xfId="351"/>
    <cellStyle name="20% - Акцент3 2 4 3" xfId="352"/>
    <cellStyle name="20% - Акцент3 2 4 4" xfId="353"/>
    <cellStyle name="20% - Акцент3 2 4 5" xfId="354"/>
    <cellStyle name="20% - Акцент3 2 4 6" xfId="355"/>
    <cellStyle name="20% - Акцент3 2 4 7" xfId="356"/>
    <cellStyle name="20% - Акцент3 2 4 8" xfId="357"/>
    <cellStyle name="20% - Акцент3 2 4 9" xfId="358"/>
    <cellStyle name="20% - Акцент3 2 4_Прайс Билдж розница от 03.07.17." xfId="359"/>
    <cellStyle name="20% - Акцент3 2 5" xfId="360"/>
    <cellStyle name="20% - Акцент3 2 6" xfId="361"/>
    <cellStyle name="20% - Акцент3 2 7" xfId="362"/>
    <cellStyle name="20% - Акцент3 2 8" xfId="363"/>
    <cellStyle name="20% - Акцент3 2 9" xfId="364"/>
    <cellStyle name="20% - Акцент3 2_инструмент" xfId="365"/>
    <cellStyle name="20% - Акцент3 3" xfId="366"/>
    <cellStyle name="20% - Акцент3 3 10" xfId="367"/>
    <cellStyle name="20% - Акцент3 3 11" xfId="368"/>
    <cellStyle name="20% - Акцент3 3 2" xfId="369"/>
    <cellStyle name="20% - Акцент3 3 3" xfId="370"/>
    <cellStyle name="20% - Акцент3 3 4" xfId="371"/>
    <cellStyle name="20% - Акцент3 3 5" xfId="372"/>
    <cellStyle name="20% - Акцент3 3 6" xfId="373"/>
    <cellStyle name="20% - Акцент3 3 7" xfId="374"/>
    <cellStyle name="20% - Акцент3 3 8" xfId="375"/>
    <cellStyle name="20% - Акцент3 3 9" xfId="376"/>
    <cellStyle name="20% - Акцент3 3_Прайс Билдж розница от 03.07.17." xfId="377"/>
    <cellStyle name="20% - Акцент4" xfId="378" builtinId="42" customBuiltin="1"/>
    <cellStyle name="20% - Акцент4 2" xfId="379"/>
    <cellStyle name="20% - Акцент4 2 10" xfId="380"/>
    <cellStyle name="20% - Акцент4 2 11" xfId="381"/>
    <cellStyle name="20% - Акцент4 2 12" xfId="382"/>
    <cellStyle name="20% - Акцент4 2 13" xfId="383"/>
    <cellStyle name="20% - Акцент4 2 14" xfId="384"/>
    <cellStyle name="20% - Акцент4 2 2" xfId="385"/>
    <cellStyle name="20% - Акцент4 2 2 10" xfId="386"/>
    <cellStyle name="20% - Акцент4 2 2 11" xfId="387"/>
    <cellStyle name="20% - Акцент4 2 2 2" xfId="388"/>
    <cellStyle name="20% - Акцент4 2 2 3" xfId="389"/>
    <cellStyle name="20% - Акцент4 2 2 4" xfId="390"/>
    <cellStyle name="20% - Акцент4 2 2 5" xfId="391"/>
    <cellStyle name="20% - Акцент4 2 2 6" xfId="392"/>
    <cellStyle name="20% - Акцент4 2 2 7" xfId="393"/>
    <cellStyle name="20% - Акцент4 2 2 8" xfId="394"/>
    <cellStyle name="20% - Акцент4 2 2 9" xfId="395"/>
    <cellStyle name="20% - Акцент4 2 2_Прайс Билдж розница от 03.07.17." xfId="396"/>
    <cellStyle name="20% - Акцент4 2 3" xfId="397"/>
    <cellStyle name="20% - Акцент4 2 3 10" xfId="398"/>
    <cellStyle name="20% - Акцент4 2 3 11" xfId="399"/>
    <cellStyle name="20% - Акцент4 2 3 2" xfId="400"/>
    <cellStyle name="20% - Акцент4 2 3 3" xfId="401"/>
    <cellStyle name="20% - Акцент4 2 3 4" xfId="402"/>
    <cellStyle name="20% - Акцент4 2 3 5" xfId="403"/>
    <cellStyle name="20% - Акцент4 2 3 6" xfId="404"/>
    <cellStyle name="20% - Акцент4 2 3 7" xfId="405"/>
    <cellStyle name="20% - Акцент4 2 3 8" xfId="406"/>
    <cellStyle name="20% - Акцент4 2 3 9" xfId="407"/>
    <cellStyle name="20% - Акцент4 2 4" xfId="408"/>
    <cellStyle name="20% - Акцент4 2 4 10" xfId="409"/>
    <cellStyle name="20% - Акцент4 2 4 11" xfId="410"/>
    <cellStyle name="20% - Акцент4 2 4 2" xfId="411"/>
    <cellStyle name="20% - Акцент4 2 4 3" xfId="412"/>
    <cellStyle name="20% - Акцент4 2 4 4" xfId="413"/>
    <cellStyle name="20% - Акцент4 2 4 5" xfId="414"/>
    <cellStyle name="20% - Акцент4 2 4 6" xfId="415"/>
    <cellStyle name="20% - Акцент4 2 4 7" xfId="416"/>
    <cellStyle name="20% - Акцент4 2 4 8" xfId="417"/>
    <cellStyle name="20% - Акцент4 2 4 9" xfId="418"/>
    <cellStyle name="20% - Акцент4 2 4_Прайс Билдж розница от 03.07.17." xfId="419"/>
    <cellStyle name="20% - Акцент4 2 5" xfId="420"/>
    <cellStyle name="20% - Акцент4 2 6" xfId="421"/>
    <cellStyle name="20% - Акцент4 2 7" xfId="422"/>
    <cellStyle name="20% - Акцент4 2 8" xfId="423"/>
    <cellStyle name="20% - Акцент4 2 9" xfId="424"/>
    <cellStyle name="20% - Акцент4 2_инструмент" xfId="425"/>
    <cellStyle name="20% - Акцент4 3" xfId="426"/>
    <cellStyle name="20% - Акцент4 3 10" xfId="427"/>
    <cellStyle name="20% - Акцент4 3 11" xfId="428"/>
    <cellStyle name="20% - Акцент4 3 2" xfId="429"/>
    <cellStyle name="20% - Акцент4 3 3" xfId="430"/>
    <cellStyle name="20% - Акцент4 3 4" xfId="431"/>
    <cellStyle name="20% - Акцент4 3 5" xfId="432"/>
    <cellStyle name="20% - Акцент4 3 6" xfId="433"/>
    <cellStyle name="20% - Акцент4 3 7" xfId="434"/>
    <cellStyle name="20% - Акцент4 3 8" xfId="435"/>
    <cellStyle name="20% - Акцент4 3 9" xfId="436"/>
    <cellStyle name="20% - Акцент4 3_Прайс Билдж розница от 03.07.17." xfId="437"/>
    <cellStyle name="20% - Акцент5" xfId="438" builtinId="46" customBuiltin="1"/>
    <cellStyle name="20% - Акцент5 2" xfId="439"/>
    <cellStyle name="20% - Акцент5 2 10" xfId="440"/>
    <cellStyle name="20% - Акцент5 2 11" xfId="441"/>
    <cellStyle name="20% - Акцент5 2 12" xfId="442"/>
    <cellStyle name="20% - Акцент5 2 13" xfId="443"/>
    <cellStyle name="20% - Акцент5 2 14" xfId="444"/>
    <cellStyle name="20% - Акцент5 2 2" xfId="445"/>
    <cellStyle name="20% - Акцент5 2 2 10" xfId="446"/>
    <cellStyle name="20% - Акцент5 2 2 11" xfId="447"/>
    <cellStyle name="20% - Акцент5 2 2 2" xfId="448"/>
    <cellStyle name="20% - Акцент5 2 2 3" xfId="449"/>
    <cellStyle name="20% - Акцент5 2 2 4" xfId="450"/>
    <cellStyle name="20% - Акцент5 2 2 5" xfId="451"/>
    <cellStyle name="20% - Акцент5 2 2 6" xfId="452"/>
    <cellStyle name="20% - Акцент5 2 2 7" xfId="453"/>
    <cellStyle name="20% - Акцент5 2 2 8" xfId="454"/>
    <cellStyle name="20% - Акцент5 2 2 9" xfId="455"/>
    <cellStyle name="20% - Акцент5 2 2_Прайс Билдж розница от 03.07.17." xfId="456"/>
    <cellStyle name="20% - Акцент5 2 3" xfId="457"/>
    <cellStyle name="20% - Акцент5 2 3 10" xfId="458"/>
    <cellStyle name="20% - Акцент5 2 3 11" xfId="459"/>
    <cellStyle name="20% - Акцент5 2 3 2" xfId="460"/>
    <cellStyle name="20% - Акцент5 2 3 3" xfId="461"/>
    <cellStyle name="20% - Акцент5 2 3 4" xfId="462"/>
    <cellStyle name="20% - Акцент5 2 3 5" xfId="463"/>
    <cellStyle name="20% - Акцент5 2 3 6" xfId="464"/>
    <cellStyle name="20% - Акцент5 2 3 7" xfId="465"/>
    <cellStyle name="20% - Акцент5 2 3 8" xfId="466"/>
    <cellStyle name="20% - Акцент5 2 3 9" xfId="467"/>
    <cellStyle name="20% - Акцент5 2 4" xfId="468"/>
    <cellStyle name="20% - Акцент5 2 4 10" xfId="469"/>
    <cellStyle name="20% - Акцент5 2 4 11" xfId="470"/>
    <cellStyle name="20% - Акцент5 2 4 2" xfId="471"/>
    <cellStyle name="20% - Акцент5 2 4 3" xfId="472"/>
    <cellStyle name="20% - Акцент5 2 4 4" xfId="473"/>
    <cellStyle name="20% - Акцент5 2 4 5" xfId="474"/>
    <cellStyle name="20% - Акцент5 2 4 6" xfId="475"/>
    <cellStyle name="20% - Акцент5 2 4 7" xfId="476"/>
    <cellStyle name="20% - Акцент5 2 4 8" xfId="477"/>
    <cellStyle name="20% - Акцент5 2 4 9" xfId="478"/>
    <cellStyle name="20% - Акцент5 2 4_Прайс Билдж розница от 03.07.17." xfId="479"/>
    <cellStyle name="20% - Акцент5 2 5" xfId="480"/>
    <cellStyle name="20% - Акцент5 2 6" xfId="481"/>
    <cellStyle name="20% - Акцент5 2 7" xfId="482"/>
    <cellStyle name="20% - Акцент5 2 8" xfId="483"/>
    <cellStyle name="20% - Акцент5 2 9" xfId="484"/>
    <cellStyle name="20% - Акцент5 2_инструмент" xfId="485"/>
    <cellStyle name="20% - Акцент5 3" xfId="486"/>
    <cellStyle name="20% - Акцент5 3 10" xfId="487"/>
    <cellStyle name="20% - Акцент5 3 11" xfId="488"/>
    <cellStyle name="20% - Акцент5 3 2" xfId="489"/>
    <cellStyle name="20% - Акцент5 3 3" xfId="490"/>
    <cellStyle name="20% - Акцент5 3 4" xfId="491"/>
    <cellStyle name="20% - Акцент5 3 5" xfId="492"/>
    <cellStyle name="20% - Акцент5 3 6" xfId="493"/>
    <cellStyle name="20% - Акцент5 3 7" xfId="494"/>
    <cellStyle name="20% - Акцент5 3 8" xfId="495"/>
    <cellStyle name="20% - Акцент5 3 9" xfId="496"/>
    <cellStyle name="20% - Акцент5 3_Прайс Билдж розница от 03.07.17." xfId="497"/>
    <cellStyle name="20% - Акцент6" xfId="498" builtinId="50" customBuiltin="1"/>
    <cellStyle name="20% - Акцент6 2" xfId="499"/>
    <cellStyle name="20% - Акцент6 2 10" xfId="500"/>
    <cellStyle name="20% - Акцент6 2 11" xfId="501"/>
    <cellStyle name="20% - Акцент6 2 12" xfId="502"/>
    <cellStyle name="20% - Акцент6 2 13" xfId="503"/>
    <cellStyle name="20% - Акцент6 2 14" xfId="504"/>
    <cellStyle name="20% - Акцент6 2 2" xfId="505"/>
    <cellStyle name="20% - Акцент6 2 2 10" xfId="506"/>
    <cellStyle name="20% - Акцент6 2 2 11" xfId="507"/>
    <cellStyle name="20% - Акцент6 2 2 2" xfId="508"/>
    <cellStyle name="20% - Акцент6 2 2 3" xfId="509"/>
    <cellStyle name="20% - Акцент6 2 2 4" xfId="510"/>
    <cellStyle name="20% - Акцент6 2 2 5" xfId="511"/>
    <cellStyle name="20% - Акцент6 2 2 6" xfId="512"/>
    <cellStyle name="20% - Акцент6 2 2 7" xfId="513"/>
    <cellStyle name="20% - Акцент6 2 2 8" xfId="514"/>
    <cellStyle name="20% - Акцент6 2 2 9" xfId="515"/>
    <cellStyle name="20% - Акцент6 2 2_Прайс Билдж розница от 03.07.17." xfId="516"/>
    <cellStyle name="20% - Акцент6 2 3" xfId="517"/>
    <cellStyle name="20% - Акцент6 2 3 10" xfId="518"/>
    <cellStyle name="20% - Акцент6 2 3 11" xfId="519"/>
    <cellStyle name="20% - Акцент6 2 3 2" xfId="520"/>
    <cellStyle name="20% - Акцент6 2 3 3" xfId="521"/>
    <cellStyle name="20% - Акцент6 2 3 4" xfId="522"/>
    <cellStyle name="20% - Акцент6 2 3 5" xfId="523"/>
    <cellStyle name="20% - Акцент6 2 3 6" xfId="524"/>
    <cellStyle name="20% - Акцент6 2 3 7" xfId="525"/>
    <cellStyle name="20% - Акцент6 2 3 8" xfId="526"/>
    <cellStyle name="20% - Акцент6 2 3 9" xfId="527"/>
    <cellStyle name="20% - Акцент6 2 4" xfId="528"/>
    <cellStyle name="20% - Акцент6 2 4 10" xfId="529"/>
    <cellStyle name="20% - Акцент6 2 4 11" xfId="530"/>
    <cellStyle name="20% - Акцент6 2 4 2" xfId="531"/>
    <cellStyle name="20% - Акцент6 2 4 3" xfId="532"/>
    <cellStyle name="20% - Акцент6 2 4 4" xfId="533"/>
    <cellStyle name="20% - Акцент6 2 4 5" xfId="534"/>
    <cellStyle name="20% - Акцент6 2 4 6" xfId="535"/>
    <cellStyle name="20% - Акцент6 2 4 7" xfId="536"/>
    <cellStyle name="20% - Акцент6 2 4 8" xfId="537"/>
    <cellStyle name="20% - Акцент6 2 4 9" xfId="538"/>
    <cellStyle name="20% - Акцент6 2 4_Прайс Билдж розница от 03.07.17." xfId="539"/>
    <cellStyle name="20% - Акцент6 2 5" xfId="540"/>
    <cellStyle name="20% - Акцент6 2 6" xfId="541"/>
    <cellStyle name="20% - Акцент6 2 7" xfId="542"/>
    <cellStyle name="20% - Акцент6 2 8" xfId="543"/>
    <cellStyle name="20% - Акцент6 2 9" xfId="544"/>
    <cellStyle name="20% - Акцент6 2_инструмент" xfId="545"/>
    <cellStyle name="20% - Акцент6 3" xfId="546"/>
    <cellStyle name="20% - Акцент6 3 10" xfId="547"/>
    <cellStyle name="20% - Акцент6 3 11" xfId="548"/>
    <cellStyle name="20% - Акцент6 3 2" xfId="549"/>
    <cellStyle name="20% - Акцент6 3 3" xfId="550"/>
    <cellStyle name="20% - Акцент6 3 4" xfId="551"/>
    <cellStyle name="20% - Акцент6 3 5" xfId="552"/>
    <cellStyle name="20% - Акцент6 3 6" xfId="553"/>
    <cellStyle name="20% - Акцент6 3 7" xfId="554"/>
    <cellStyle name="20% - Акцент6 3 8" xfId="555"/>
    <cellStyle name="20% - Акцент6 3 9" xfId="556"/>
    <cellStyle name="20% - Акцент6 3_Прайс Билдж розница от 03.07.17." xfId="557"/>
    <cellStyle name="40% - Акцент1" xfId="558" builtinId="31" customBuiltin="1"/>
    <cellStyle name="40% - Акцент1 2" xfId="559"/>
    <cellStyle name="40% - Акцент1 2 10" xfId="560"/>
    <cellStyle name="40% - Акцент1 2 11" xfId="561"/>
    <cellStyle name="40% - Акцент1 2 12" xfId="562"/>
    <cellStyle name="40% - Акцент1 2 13" xfId="563"/>
    <cellStyle name="40% - Акцент1 2 14" xfId="564"/>
    <cellStyle name="40% - Акцент1 2 2" xfId="565"/>
    <cellStyle name="40% - Акцент1 2 2 10" xfId="566"/>
    <cellStyle name="40% - Акцент1 2 2 11" xfId="567"/>
    <cellStyle name="40% - Акцент1 2 2 2" xfId="568"/>
    <cellStyle name="40% - Акцент1 2 2 3" xfId="569"/>
    <cellStyle name="40% - Акцент1 2 2 4" xfId="570"/>
    <cellStyle name="40% - Акцент1 2 2 5" xfId="571"/>
    <cellStyle name="40% - Акцент1 2 2 6" xfId="572"/>
    <cellStyle name="40% - Акцент1 2 2 7" xfId="573"/>
    <cellStyle name="40% - Акцент1 2 2 8" xfId="574"/>
    <cellStyle name="40% - Акцент1 2 2 9" xfId="575"/>
    <cellStyle name="40% - Акцент1 2 2_Прайс Билдж розница от 03.07.17." xfId="576"/>
    <cellStyle name="40% - Акцент1 2 3" xfId="577"/>
    <cellStyle name="40% - Акцент1 2 3 10" xfId="578"/>
    <cellStyle name="40% - Акцент1 2 3 11" xfId="579"/>
    <cellStyle name="40% - Акцент1 2 3 2" xfId="580"/>
    <cellStyle name="40% - Акцент1 2 3 3" xfId="581"/>
    <cellStyle name="40% - Акцент1 2 3 4" xfId="582"/>
    <cellStyle name="40% - Акцент1 2 3 5" xfId="583"/>
    <cellStyle name="40% - Акцент1 2 3 6" xfId="584"/>
    <cellStyle name="40% - Акцент1 2 3 7" xfId="585"/>
    <cellStyle name="40% - Акцент1 2 3 8" xfId="586"/>
    <cellStyle name="40% - Акцент1 2 3 9" xfId="587"/>
    <cellStyle name="40% - Акцент1 2 4" xfId="588"/>
    <cellStyle name="40% - Акцент1 2 4 10" xfId="589"/>
    <cellStyle name="40% - Акцент1 2 4 11" xfId="590"/>
    <cellStyle name="40% - Акцент1 2 4 2" xfId="591"/>
    <cellStyle name="40% - Акцент1 2 4 3" xfId="592"/>
    <cellStyle name="40% - Акцент1 2 4 4" xfId="593"/>
    <cellStyle name="40% - Акцент1 2 4 5" xfId="594"/>
    <cellStyle name="40% - Акцент1 2 4 6" xfId="595"/>
    <cellStyle name="40% - Акцент1 2 4 7" xfId="596"/>
    <cellStyle name="40% - Акцент1 2 4 8" xfId="597"/>
    <cellStyle name="40% - Акцент1 2 4 9" xfId="598"/>
    <cellStyle name="40% - Акцент1 2 4_Прайс Билдж розница от 03.07.17." xfId="599"/>
    <cellStyle name="40% - Акцент1 2 5" xfId="600"/>
    <cellStyle name="40% - Акцент1 2 6" xfId="601"/>
    <cellStyle name="40% - Акцент1 2 7" xfId="602"/>
    <cellStyle name="40% - Акцент1 2 8" xfId="603"/>
    <cellStyle name="40% - Акцент1 2 9" xfId="604"/>
    <cellStyle name="40% - Акцент1 2_инструмент" xfId="605"/>
    <cellStyle name="40% - Акцент1 3" xfId="606"/>
    <cellStyle name="40% - Акцент1 3 10" xfId="607"/>
    <cellStyle name="40% - Акцент1 3 11" xfId="608"/>
    <cellStyle name="40% - Акцент1 3 2" xfId="609"/>
    <cellStyle name="40% - Акцент1 3 3" xfId="610"/>
    <cellStyle name="40% - Акцент1 3 4" xfId="611"/>
    <cellStyle name="40% - Акцент1 3 5" xfId="612"/>
    <cellStyle name="40% - Акцент1 3 6" xfId="613"/>
    <cellStyle name="40% - Акцент1 3 7" xfId="614"/>
    <cellStyle name="40% - Акцент1 3 8" xfId="615"/>
    <cellStyle name="40% - Акцент1 3 9" xfId="616"/>
    <cellStyle name="40% - Акцент1 3_Прайс Билдж розница от 03.07.17." xfId="617"/>
    <cellStyle name="40% - Акцент2" xfId="618" builtinId="35" customBuiltin="1"/>
    <cellStyle name="40% - Акцент2 2" xfId="619"/>
    <cellStyle name="40% - Акцент2 2 10" xfId="620"/>
    <cellStyle name="40% - Акцент2 2 11" xfId="621"/>
    <cellStyle name="40% - Акцент2 2 12" xfId="622"/>
    <cellStyle name="40% - Акцент2 2 13" xfId="623"/>
    <cellStyle name="40% - Акцент2 2 14" xfId="624"/>
    <cellStyle name="40% - Акцент2 2 2" xfId="625"/>
    <cellStyle name="40% - Акцент2 2 2 10" xfId="626"/>
    <cellStyle name="40% - Акцент2 2 2 11" xfId="627"/>
    <cellStyle name="40% - Акцент2 2 2 2" xfId="628"/>
    <cellStyle name="40% - Акцент2 2 2 3" xfId="629"/>
    <cellStyle name="40% - Акцент2 2 2 4" xfId="630"/>
    <cellStyle name="40% - Акцент2 2 2 5" xfId="631"/>
    <cellStyle name="40% - Акцент2 2 2 6" xfId="632"/>
    <cellStyle name="40% - Акцент2 2 2 7" xfId="633"/>
    <cellStyle name="40% - Акцент2 2 2 8" xfId="634"/>
    <cellStyle name="40% - Акцент2 2 2 9" xfId="635"/>
    <cellStyle name="40% - Акцент2 2 2_Прайс Билдж розница от 03.07.17." xfId="636"/>
    <cellStyle name="40% - Акцент2 2 3" xfId="637"/>
    <cellStyle name="40% - Акцент2 2 3 10" xfId="638"/>
    <cellStyle name="40% - Акцент2 2 3 11" xfId="639"/>
    <cellStyle name="40% - Акцент2 2 3 2" xfId="640"/>
    <cellStyle name="40% - Акцент2 2 3 3" xfId="641"/>
    <cellStyle name="40% - Акцент2 2 3 4" xfId="642"/>
    <cellStyle name="40% - Акцент2 2 3 5" xfId="643"/>
    <cellStyle name="40% - Акцент2 2 3 6" xfId="644"/>
    <cellStyle name="40% - Акцент2 2 3 7" xfId="645"/>
    <cellStyle name="40% - Акцент2 2 3 8" xfId="646"/>
    <cellStyle name="40% - Акцент2 2 3 9" xfId="647"/>
    <cellStyle name="40% - Акцент2 2 4" xfId="648"/>
    <cellStyle name="40% - Акцент2 2 4 10" xfId="649"/>
    <cellStyle name="40% - Акцент2 2 4 11" xfId="650"/>
    <cellStyle name="40% - Акцент2 2 4 2" xfId="651"/>
    <cellStyle name="40% - Акцент2 2 4 3" xfId="652"/>
    <cellStyle name="40% - Акцент2 2 4 4" xfId="653"/>
    <cellStyle name="40% - Акцент2 2 4 5" xfId="654"/>
    <cellStyle name="40% - Акцент2 2 4 6" xfId="655"/>
    <cellStyle name="40% - Акцент2 2 4 7" xfId="656"/>
    <cellStyle name="40% - Акцент2 2 4 8" xfId="657"/>
    <cellStyle name="40% - Акцент2 2 4 9" xfId="658"/>
    <cellStyle name="40% - Акцент2 2 4_Прайс Билдж розница от 03.07.17." xfId="659"/>
    <cellStyle name="40% - Акцент2 2 5" xfId="660"/>
    <cellStyle name="40% - Акцент2 2 6" xfId="661"/>
    <cellStyle name="40% - Акцент2 2 7" xfId="662"/>
    <cellStyle name="40% - Акцент2 2 8" xfId="663"/>
    <cellStyle name="40% - Акцент2 2 9" xfId="664"/>
    <cellStyle name="40% - Акцент2 2_инструмент" xfId="665"/>
    <cellStyle name="40% - Акцент2 3" xfId="666"/>
    <cellStyle name="40% - Акцент2 3 10" xfId="667"/>
    <cellStyle name="40% - Акцент2 3 11" xfId="668"/>
    <cellStyle name="40% - Акцент2 3 2" xfId="669"/>
    <cellStyle name="40% - Акцент2 3 3" xfId="670"/>
    <cellStyle name="40% - Акцент2 3 4" xfId="671"/>
    <cellStyle name="40% - Акцент2 3 5" xfId="672"/>
    <cellStyle name="40% - Акцент2 3 6" xfId="673"/>
    <cellStyle name="40% - Акцент2 3 7" xfId="674"/>
    <cellStyle name="40% - Акцент2 3 8" xfId="675"/>
    <cellStyle name="40% - Акцент2 3 9" xfId="676"/>
    <cellStyle name="40% - Акцент2 3_Прайс Билдж розница от 03.07.17." xfId="677"/>
    <cellStyle name="40% - Акцент3" xfId="678" builtinId="39" customBuiltin="1"/>
    <cellStyle name="40% - Акцент3 2" xfId="679"/>
    <cellStyle name="40% - Акцент3 2 10" xfId="680"/>
    <cellStyle name="40% - Акцент3 2 11" xfId="681"/>
    <cellStyle name="40% - Акцент3 2 12" xfId="682"/>
    <cellStyle name="40% - Акцент3 2 13" xfId="683"/>
    <cellStyle name="40% - Акцент3 2 14" xfId="684"/>
    <cellStyle name="40% - Акцент3 2 2" xfId="685"/>
    <cellStyle name="40% - Акцент3 2 2 10" xfId="686"/>
    <cellStyle name="40% - Акцент3 2 2 11" xfId="687"/>
    <cellStyle name="40% - Акцент3 2 2 2" xfId="688"/>
    <cellStyle name="40% - Акцент3 2 2 3" xfId="689"/>
    <cellStyle name="40% - Акцент3 2 2 4" xfId="690"/>
    <cellStyle name="40% - Акцент3 2 2 5" xfId="691"/>
    <cellStyle name="40% - Акцент3 2 2 6" xfId="692"/>
    <cellStyle name="40% - Акцент3 2 2 7" xfId="693"/>
    <cellStyle name="40% - Акцент3 2 2 8" xfId="694"/>
    <cellStyle name="40% - Акцент3 2 2 9" xfId="695"/>
    <cellStyle name="40% - Акцент3 2 2_Прайс Билдж розница от 03.07.17." xfId="696"/>
    <cellStyle name="40% - Акцент3 2 3" xfId="697"/>
    <cellStyle name="40% - Акцент3 2 3 10" xfId="698"/>
    <cellStyle name="40% - Акцент3 2 3 11" xfId="699"/>
    <cellStyle name="40% - Акцент3 2 3 2" xfId="700"/>
    <cellStyle name="40% - Акцент3 2 3 3" xfId="701"/>
    <cellStyle name="40% - Акцент3 2 3 4" xfId="702"/>
    <cellStyle name="40% - Акцент3 2 3 5" xfId="703"/>
    <cellStyle name="40% - Акцент3 2 3 6" xfId="704"/>
    <cellStyle name="40% - Акцент3 2 3 7" xfId="705"/>
    <cellStyle name="40% - Акцент3 2 3 8" xfId="706"/>
    <cellStyle name="40% - Акцент3 2 3 9" xfId="707"/>
    <cellStyle name="40% - Акцент3 2 4" xfId="708"/>
    <cellStyle name="40% - Акцент3 2 4 10" xfId="709"/>
    <cellStyle name="40% - Акцент3 2 4 11" xfId="710"/>
    <cellStyle name="40% - Акцент3 2 4 2" xfId="711"/>
    <cellStyle name="40% - Акцент3 2 4 3" xfId="712"/>
    <cellStyle name="40% - Акцент3 2 4 4" xfId="713"/>
    <cellStyle name="40% - Акцент3 2 4 5" xfId="714"/>
    <cellStyle name="40% - Акцент3 2 4 6" xfId="715"/>
    <cellStyle name="40% - Акцент3 2 4 7" xfId="716"/>
    <cellStyle name="40% - Акцент3 2 4 8" xfId="717"/>
    <cellStyle name="40% - Акцент3 2 4 9" xfId="718"/>
    <cellStyle name="40% - Акцент3 2 4_Прайс Билдж розница от 03.07.17." xfId="719"/>
    <cellStyle name="40% - Акцент3 2 5" xfId="720"/>
    <cellStyle name="40% - Акцент3 2 6" xfId="721"/>
    <cellStyle name="40% - Акцент3 2 7" xfId="722"/>
    <cellStyle name="40% - Акцент3 2 8" xfId="723"/>
    <cellStyle name="40% - Акцент3 2 9" xfId="724"/>
    <cellStyle name="40% - Акцент3 2_инструмент" xfId="725"/>
    <cellStyle name="40% - Акцент3 3" xfId="726"/>
    <cellStyle name="40% - Акцент3 3 10" xfId="727"/>
    <cellStyle name="40% - Акцент3 3 11" xfId="728"/>
    <cellStyle name="40% - Акцент3 3 2" xfId="729"/>
    <cellStyle name="40% - Акцент3 3 3" xfId="730"/>
    <cellStyle name="40% - Акцент3 3 4" xfId="731"/>
    <cellStyle name="40% - Акцент3 3 5" xfId="732"/>
    <cellStyle name="40% - Акцент3 3 6" xfId="733"/>
    <cellStyle name="40% - Акцент3 3 7" xfId="734"/>
    <cellStyle name="40% - Акцент3 3 8" xfId="735"/>
    <cellStyle name="40% - Акцент3 3 9" xfId="736"/>
    <cellStyle name="40% - Акцент3 3_Прайс Билдж розница от 03.07.17." xfId="737"/>
    <cellStyle name="40% - Акцент4" xfId="738" builtinId="43" customBuiltin="1"/>
    <cellStyle name="40% - Акцент4 2" xfId="739"/>
    <cellStyle name="40% - Акцент4 2 10" xfId="740"/>
    <cellStyle name="40% - Акцент4 2 11" xfId="741"/>
    <cellStyle name="40% - Акцент4 2 12" xfId="742"/>
    <cellStyle name="40% - Акцент4 2 13" xfId="743"/>
    <cellStyle name="40% - Акцент4 2 14" xfId="744"/>
    <cellStyle name="40% - Акцент4 2 2" xfId="745"/>
    <cellStyle name="40% - Акцент4 2 2 10" xfId="746"/>
    <cellStyle name="40% - Акцент4 2 2 11" xfId="747"/>
    <cellStyle name="40% - Акцент4 2 2 2" xfId="748"/>
    <cellStyle name="40% - Акцент4 2 2 3" xfId="749"/>
    <cellStyle name="40% - Акцент4 2 2 4" xfId="750"/>
    <cellStyle name="40% - Акцент4 2 2 5" xfId="751"/>
    <cellStyle name="40% - Акцент4 2 2 6" xfId="752"/>
    <cellStyle name="40% - Акцент4 2 2 7" xfId="753"/>
    <cellStyle name="40% - Акцент4 2 2 8" xfId="754"/>
    <cellStyle name="40% - Акцент4 2 2 9" xfId="755"/>
    <cellStyle name="40% - Акцент4 2 2_Прайс Билдж розница от 03.07.17." xfId="756"/>
    <cellStyle name="40% - Акцент4 2 3" xfId="757"/>
    <cellStyle name="40% - Акцент4 2 3 10" xfId="758"/>
    <cellStyle name="40% - Акцент4 2 3 11" xfId="759"/>
    <cellStyle name="40% - Акцент4 2 3 2" xfId="760"/>
    <cellStyle name="40% - Акцент4 2 3 3" xfId="761"/>
    <cellStyle name="40% - Акцент4 2 3 4" xfId="762"/>
    <cellStyle name="40% - Акцент4 2 3 5" xfId="763"/>
    <cellStyle name="40% - Акцент4 2 3 6" xfId="764"/>
    <cellStyle name="40% - Акцент4 2 3 7" xfId="765"/>
    <cellStyle name="40% - Акцент4 2 3 8" xfId="766"/>
    <cellStyle name="40% - Акцент4 2 3 9" xfId="767"/>
    <cellStyle name="40% - Акцент4 2 4" xfId="768"/>
    <cellStyle name="40% - Акцент4 2 4 10" xfId="769"/>
    <cellStyle name="40% - Акцент4 2 4 11" xfId="770"/>
    <cellStyle name="40% - Акцент4 2 4 2" xfId="771"/>
    <cellStyle name="40% - Акцент4 2 4 3" xfId="772"/>
    <cellStyle name="40% - Акцент4 2 4 4" xfId="773"/>
    <cellStyle name="40% - Акцент4 2 4 5" xfId="774"/>
    <cellStyle name="40% - Акцент4 2 4 6" xfId="775"/>
    <cellStyle name="40% - Акцент4 2 4 7" xfId="776"/>
    <cellStyle name="40% - Акцент4 2 4 8" xfId="777"/>
    <cellStyle name="40% - Акцент4 2 4 9" xfId="778"/>
    <cellStyle name="40% - Акцент4 2 4_Прайс Билдж розница от 03.07.17." xfId="779"/>
    <cellStyle name="40% - Акцент4 2 5" xfId="780"/>
    <cellStyle name="40% - Акцент4 2 6" xfId="781"/>
    <cellStyle name="40% - Акцент4 2 7" xfId="782"/>
    <cellStyle name="40% - Акцент4 2 8" xfId="783"/>
    <cellStyle name="40% - Акцент4 2 9" xfId="784"/>
    <cellStyle name="40% - Акцент4 2_инструмент" xfId="785"/>
    <cellStyle name="40% - Акцент4 3" xfId="786"/>
    <cellStyle name="40% - Акцент4 3 10" xfId="787"/>
    <cellStyle name="40% - Акцент4 3 11" xfId="788"/>
    <cellStyle name="40% - Акцент4 3 2" xfId="789"/>
    <cellStyle name="40% - Акцент4 3 3" xfId="790"/>
    <cellStyle name="40% - Акцент4 3 4" xfId="791"/>
    <cellStyle name="40% - Акцент4 3 5" xfId="792"/>
    <cellStyle name="40% - Акцент4 3 6" xfId="793"/>
    <cellStyle name="40% - Акцент4 3 7" xfId="794"/>
    <cellStyle name="40% - Акцент4 3 8" xfId="795"/>
    <cellStyle name="40% - Акцент4 3 9" xfId="796"/>
    <cellStyle name="40% - Акцент4 3_Прайс Билдж розница от 03.07.17." xfId="797"/>
    <cellStyle name="40% - Акцент5" xfId="798" builtinId="47" customBuiltin="1"/>
    <cellStyle name="40% - Акцент5 2" xfId="799"/>
    <cellStyle name="40% - Акцент5 2 10" xfId="800"/>
    <cellStyle name="40% - Акцент5 2 11" xfId="801"/>
    <cellStyle name="40% - Акцент5 2 12" xfId="802"/>
    <cellStyle name="40% - Акцент5 2 13" xfId="803"/>
    <cellStyle name="40% - Акцент5 2 14" xfId="804"/>
    <cellStyle name="40% - Акцент5 2 2" xfId="805"/>
    <cellStyle name="40% - Акцент5 2 2 10" xfId="806"/>
    <cellStyle name="40% - Акцент5 2 2 11" xfId="807"/>
    <cellStyle name="40% - Акцент5 2 2 2" xfId="808"/>
    <cellStyle name="40% - Акцент5 2 2 3" xfId="809"/>
    <cellStyle name="40% - Акцент5 2 2 4" xfId="810"/>
    <cellStyle name="40% - Акцент5 2 2 5" xfId="811"/>
    <cellStyle name="40% - Акцент5 2 2 6" xfId="812"/>
    <cellStyle name="40% - Акцент5 2 2 7" xfId="813"/>
    <cellStyle name="40% - Акцент5 2 2 8" xfId="814"/>
    <cellStyle name="40% - Акцент5 2 2 9" xfId="815"/>
    <cellStyle name="40% - Акцент5 2 2_Прайс Билдж розница от 03.07.17." xfId="816"/>
    <cellStyle name="40% - Акцент5 2 3" xfId="817"/>
    <cellStyle name="40% - Акцент5 2 3 10" xfId="818"/>
    <cellStyle name="40% - Акцент5 2 3 11" xfId="819"/>
    <cellStyle name="40% - Акцент5 2 3 2" xfId="820"/>
    <cellStyle name="40% - Акцент5 2 3 3" xfId="821"/>
    <cellStyle name="40% - Акцент5 2 3 4" xfId="822"/>
    <cellStyle name="40% - Акцент5 2 3 5" xfId="823"/>
    <cellStyle name="40% - Акцент5 2 3 6" xfId="824"/>
    <cellStyle name="40% - Акцент5 2 3 7" xfId="825"/>
    <cellStyle name="40% - Акцент5 2 3 8" xfId="826"/>
    <cellStyle name="40% - Акцент5 2 3 9" xfId="827"/>
    <cellStyle name="40% - Акцент5 2 4" xfId="828"/>
    <cellStyle name="40% - Акцент5 2 4 10" xfId="829"/>
    <cellStyle name="40% - Акцент5 2 4 11" xfId="830"/>
    <cellStyle name="40% - Акцент5 2 4 2" xfId="831"/>
    <cellStyle name="40% - Акцент5 2 4 3" xfId="832"/>
    <cellStyle name="40% - Акцент5 2 4 4" xfId="833"/>
    <cellStyle name="40% - Акцент5 2 4 5" xfId="834"/>
    <cellStyle name="40% - Акцент5 2 4 6" xfId="835"/>
    <cellStyle name="40% - Акцент5 2 4 7" xfId="836"/>
    <cellStyle name="40% - Акцент5 2 4 8" xfId="837"/>
    <cellStyle name="40% - Акцент5 2 4 9" xfId="838"/>
    <cellStyle name="40% - Акцент5 2 4_Прайс Билдж розница от 03.07.17." xfId="839"/>
    <cellStyle name="40% - Акцент5 2 5" xfId="840"/>
    <cellStyle name="40% - Акцент5 2 6" xfId="841"/>
    <cellStyle name="40% - Акцент5 2 7" xfId="842"/>
    <cellStyle name="40% - Акцент5 2 8" xfId="843"/>
    <cellStyle name="40% - Акцент5 2 9" xfId="844"/>
    <cellStyle name="40% - Акцент5 2_инструмент" xfId="845"/>
    <cellStyle name="40% - Акцент5 3" xfId="846"/>
    <cellStyle name="40% - Акцент5 3 10" xfId="847"/>
    <cellStyle name="40% - Акцент5 3 11" xfId="848"/>
    <cellStyle name="40% - Акцент5 3 2" xfId="849"/>
    <cellStyle name="40% - Акцент5 3 3" xfId="850"/>
    <cellStyle name="40% - Акцент5 3 4" xfId="851"/>
    <cellStyle name="40% - Акцент5 3 5" xfId="852"/>
    <cellStyle name="40% - Акцент5 3 6" xfId="853"/>
    <cellStyle name="40% - Акцент5 3 7" xfId="854"/>
    <cellStyle name="40% - Акцент5 3 8" xfId="855"/>
    <cellStyle name="40% - Акцент5 3 9" xfId="856"/>
    <cellStyle name="40% - Акцент5 3_Прайс Билдж розница от 03.07.17." xfId="857"/>
    <cellStyle name="40% - Акцент6" xfId="858" builtinId="51" customBuiltin="1"/>
    <cellStyle name="40% - Акцент6 2" xfId="859"/>
    <cellStyle name="40% - Акцент6 2 10" xfId="860"/>
    <cellStyle name="40% - Акцент6 2 11" xfId="861"/>
    <cellStyle name="40% - Акцент6 2 12" xfId="862"/>
    <cellStyle name="40% - Акцент6 2 13" xfId="863"/>
    <cellStyle name="40% - Акцент6 2 14" xfId="864"/>
    <cellStyle name="40% - Акцент6 2 2" xfId="865"/>
    <cellStyle name="40% - Акцент6 2 2 10" xfId="866"/>
    <cellStyle name="40% - Акцент6 2 2 11" xfId="867"/>
    <cellStyle name="40% - Акцент6 2 2 2" xfId="868"/>
    <cellStyle name="40% - Акцент6 2 2 3" xfId="869"/>
    <cellStyle name="40% - Акцент6 2 2 4" xfId="870"/>
    <cellStyle name="40% - Акцент6 2 2 5" xfId="871"/>
    <cellStyle name="40% - Акцент6 2 2 6" xfId="872"/>
    <cellStyle name="40% - Акцент6 2 2 7" xfId="873"/>
    <cellStyle name="40% - Акцент6 2 2 8" xfId="874"/>
    <cellStyle name="40% - Акцент6 2 2 9" xfId="875"/>
    <cellStyle name="40% - Акцент6 2 2_Прайс Билдж розница от 03.07.17." xfId="876"/>
    <cellStyle name="40% - Акцент6 2 3" xfId="877"/>
    <cellStyle name="40% - Акцент6 2 3 10" xfId="878"/>
    <cellStyle name="40% - Акцент6 2 3 11" xfId="879"/>
    <cellStyle name="40% - Акцент6 2 3 2" xfId="880"/>
    <cellStyle name="40% - Акцент6 2 3 3" xfId="881"/>
    <cellStyle name="40% - Акцент6 2 3 4" xfId="882"/>
    <cellStyle name="40% - Акцент6 2 3 5" xfId="883"/>
    <cellStyle name="40% - Акцент6 2 3 6" xfId="884"/>
    <cellStyle name="40% - Акцент6 2 3 7" xfId="885"/>
    <cellStyle name="40% - Акцент6 2 3 8" xfId="886"/>
    <cellStyle name="40% - Акцент6 2 3 9" xfId="887"/>
    <cellStyle name="40% - Акцент6 2 4" xfId="888"/>
    <cellStyle name="40% - Акцент6 2 4 10" xfId="889"/>
    <cellStyle name="40% - Акцент6 2 4 11" xfId="890"/>
    <cellStyle name="40% - Акцент6 2 4 2" xfId="891"/>
    <cellStyle name="40% - Акцент6 2 4 3" xfId="892"/>
    <cellStyle name="40% - Акцент6 2 4 4" xfId="893"/>
    <cellStyle name="40% - Акцент6 2 4 5" xfId="894"/>
    <cellStyle name="40% - Акцент6 2 4 6" xfId="895"/>
    <cellStyle name="40% - Акцент6 2 4 7" xfId="896"/>
    <cellStyle name="40% - Акцент6 2 4 8" xfId="897"/>
    <cellStyle name="40% - Акцент6 2 4 9" xfId="898"/>
    <cellStyle name="40% - Акцент6 2 4_Прайс Билдж розница от 03.07.17." xfId="899"/>
    <cellStyle name="40% - Акцент6 2 5" xfId="900"/>
    <cellStyle name="40% - Акцент6 2 6" xfId="901"/>
    <cellStyle name="40% - Акцент6 2 7" xfId="902"/>
    <cellStyle name="40% - Акцент6 2 8" xfId="903"/>
    <cellStyle name="40% - Акцент6 2 9" xfId="904"/>
    <cellStyle name="40% - Акцент6 2_инструмент" xfId="905"/>
    <cellStyle name="40% - Акцент6 3" xfId="906"/>
    <cellStyle name="40% - Акцент6 3 10" xfId="907"/>
    <cellStyle name="40% - Акцент6 3 11" xfId="908"/>
    <cellStyle name="40% - Акцент6 3 2" xfId="909"/>
    <cellStyle name="40% - Акцент6 3 3" xfId="910"/>
    <cellStyle name="40% - Акцент6 3 4" xfId="911"/>
    <cellStyle name="40% - Акцент6 3 5" xfId="912"/>
    <cellStyle name="40% - Акцент6 3 6" xfId="913"/>
    <cellStyle name="40% - Акцент6 3 7" xfId="914"/>
    <cellStyle name="40% - Акцент6 3 8" xfId="915"/>
    <cellStyle name="40% - Акцент6 3 9" xfId="916"/>
    <cellStyle name="40% - Акцент6 3_Прайс Билдж розница от 03.07.17." xfId="917"/>
    <cellStyle name="60% - Акцент1" xfId="918" builtinId="32" customBuiltin="1"/>
    <cellStyle name="60% - Акцент1 2" xfId="919"/>
    <cellStyle name="60% - Акцент1 2 2" xfId="920"/>
    <cellStyle name="60% - Акцент1 2 3" xfId="921"/>
    <cellStyle name="60% - Акцент1 2 4" xfId="922"/>
    <cellStyle name="60% - Акцент1 2_Прайс Билдж розница от 03.07.17." xfId="923"/>
    <cellStyle name="60% - Акцент1 3" xfId="924"/>
    <cellStyle name="60% - Акцент2" xfId="925" builtinId="36" customBuiltin="1"/>
    <cellStyle name="60% - Акцент2 2" xfId="926"/>
    <cellStyle name="60% - Акцент2 2 2" xfId="927"/>
    <cellStyle name="60% - Акцент2 2 3" xfId="928"/>
    <cellStyle name="60% - Акцент2 2 4" xfId="929"/>
    <cellStyle name="60% - Акцент2 2_Прайс Билдж розница от 03.07.17." xfId="930"/>
    <cellStyle name="60% - Акцент2 3" xfId="931"/>
    <cellStyle name="60% - Акцент3" xfId="932" builtinId="40" customBuiltin="1"/>
    <cellStyle name="60% - Акцент3 2" xfId="933"/>
    <cellStyle name="60% - Акцент3 2 2" xfId="934"/>
    <cellStyle name="60% - Акцент3 2 3" xfId="935"/>
    <cellStyle name="60% - Акцент3 2 4" xfId="936"/>
    <cellStyle name="60% - Акцент3 2_Прайс Билдж розница от 03.07.17." xfId="937"/>
    <cellStyle name="60% - Акцент3 3" xfId="938"/>
    <cellStyle name="60% - Акцент4" xfId="939" builtinId="44" customBuiltin="1"/>
    <cellStyle name="60% - Акцент4 2" xfId="940"/>
    <cellStyle name="60% - Акцент4 2 2" xfId="941"/>
    <cellStyle name="60% - Акцент4 2 3" xfId="942"/>
    <cellStyle name="60% - Акцент4 2 4" xfId="943"/>
    <cellStyle name="60% - Акцент4 2_Прайс Билдж розница от 03.07.17." xfId="944"/>
    <cellStyle name="60% - Акцент4 3" xfId="945"/>
    <cellStyle name="60% - Акцент5" xfId="946" builtinId="48" customBuiltin="1"/>
    <cellStyle name="60% - Акцент5 2" xfId="947"/>
    <cellStyle name="60% - Акцент5 2 2" xfId="948"/>
    <cellStyle name="60% - Акцент5 2 3" xfId="949"/>
    <cellStyle name="60% - Акцент5 2 4" xfId="950"/>
    <cellStyle name="60% - Акцент5 2_Прайс Билдж розница от 03.07.17." xfId="951"/>
    <cellStyle name="60% - Акцент5 3" xfId="952"/>
    <cellStyle name="60% - Акцент6" xfId="953" builtinId="52" customBuiltin="1"/>
    <cellStyle name="60% - Акцент6 2" xfId="954"/>
    <cellStyle name="60% - Акцент6 2 2" xfId="955"/>
    <cellStyle name="60% - Акцент6 2 3" xfId="956"/>
    <cellStyle name="60% - Акцент6 2 4" xfId="957"/>
    <cellStyle name="60% - Акцент6 2_Прайс Билдж розница от 03.07.17." xfId="958"/>
    <cellStyle name="60% - Акцент6 3" xfId="959"/>
    <cellStyle name="Euro" xfId="960"/>
    <cellStyle name="Euro 10" xfId="961"/>
    <cellStyle name="Euro 11" xfId="962"/>
    <cellStyle name="Euro 12" xfId="963"/>
    <cellStyle name="Euro 13" xfId="964"/>
    <cellStyle name="Euro 14" xfId="965"/>
    <cellStyle name="Euro 2" xfId="966"/>
    <cellStyle name="Euro 3" xfId="967"/>
    <cellStyle name="Euro 4" xfId="968"/>
    <cellStyle name="Euro 5" xfId="969"/>
    <cellStyle name="Euro 6" xfId="970"/>
    <cellStyle name="Euro 7" xfId="971"/>
    <cellStyle name="Euro 8" xfId="972"/>
    <cellStyle name="Euro 9" xfId="973"/>
    <cellStyle name="Euro_Прайс Билдж металлочерепица от 09.08.17" xfId="974"/>
    <cellStyle name="Excel Built-in Normal" xfId="975"/>
    <cellStyle name="Excel Built-in Normal 10" xfId="976"/>
    <cellStyle name="Excel Built-in Normal 11" xfId="977"/>
    <cellStyle name="Excel Built-in Normal 2" xfId="978"/>
    <cellStyle name="Excel Built-in Normal 3" xfId="979"/>
    <cellStyle name="Excel Built-in Normal 4" xfId="980"/>
    <cellStyle name="Excel Built-in Normal 5" xfId="981"/>
    <cellStyle name="Excel Built-in Normal 6" xfId="982"/>
    <cellStyle name="Excel Built-in Normal 7" xfId="983"/>
    <cellStyle name="Excel Built-in Normal 8" xfId="984"/>
    <cellStyle name="Excel Built-in Normal 9" xfId="985"/>
    <cellStyle name="Normal 2" xfId="986"/>
    <cellStyle name="Normal 2 10" xfId="987"/>
    <cellStyle name="Normal 2 11" xfId="988"/>
    <cellStyle name="Normal 2 2" xfId="989"/>
    <cellStyle name="Normal 2 3" xfId="990"/>
    <cellStyle name="Normal 2 4" xfId="991"/>
    <cellStyle name="Normal 2 5" xfId="992"/>
    <cellStyle name="Normal 2 6" xfId="993"/>
    <cellStyle name="Normal 2 7" xfId="994"/>
    <cellStyle name="Normal 2 8" xfId="995"/>
    <cellStyle name="Normal 2 9" xfId="996"/>
    <cellStyle name="Normal_Sheet1" xfId="997"/>
    <cellStyle name="Standaard 10" xfId="998"/>
    <cellStyle name="Standaard 10 2" xfId="999"/>
    <cellStyle name="Standaard 10 3" xfId="1000"/>
    <cellStyle name="Standaard 10 4" xfId="1001"/>
    <cellStyle name="Standaard 10_Прайс Билдж розница от 03.07.17." xfId="1002"/>
    <cellStyle name="Standaard 11" xfId="1003"/>
    <cellStyle name="Standaard 11 2" xfId="1004"/>
    <cellStyle name="Standaard 11 3" xfId="1005"/>
    <cellStyle name="Standaard 11 4" xfId="1006"/>
    <cellStyle name="Standaard 11_Прайс Билдж розница от 03.07.17." xfId="1007"/>
    <cellStyle name="Standaard 12" xfId="1008"/>
    <cellStyle name="Standaard 12 2" xfId="1009"/>
    <cellStyle name="Standaard 12 3" xfId="1010"/>
    <cellStyle name="Standaard 12 4" xfId="1011"/>
    <cellStyle name="Standaard 12_Прайс Билдж розница от 03.07.17." xfId="1012"/>
    <cellStyle name="Standaard 2" xfId="1013"/>
    <cellStyle name="Standaard 2 2" xfId="1014"/>
    <cellStyle name="Standaard 2 3" xfId="1015"/>
    <cellStyle name="Standaard 2 4" xfId="1016"/>
    <cellStyle name="Standaard 2_Прайс Билдж розница от 03.07.17." xfId="1017"/>
    <cellStyle name="Standaard 3" xfId="1018"/>
    <cellStyle name="Standaard 3 10" xfId="1019"/>
    <cellStyle name="Standaard 3 11" xfId="1020"/>
    <cellStyle name="Standaard 3 12" xfId="1021"/>
    <cellStyle name="Standaard 3 13" xfId="1022"/>
    <cellStyle name="Standaard 3 14" xfId="1023"/>
    <cellStyle name="Standaard 3 2" xfId="1024"/>
    <cellStyle name="Standaard 3 3" xfId="1025"/>
    <cellStyle name="Standaard 3 4" xfId="1026"/>
    <cellStyle name="Standaard 3 5" xfId="1027"/>
    <cellStyle name="Standaard 3 6" xfId="1028"/>
    <cellStyle name="Standaard 3 7" xfId="1029"/>
    <cellStyle name="Standaard 3 8" xfId="1030"/>
    <cellStyle name="Standaard 3 9" xfId="1031"/>
    <cellStyle name="Standaard 3_Вентиляция Krovent 16.06.15" xfId="1032"/>
    <cellStyle name="Standaard 4" xfId="1033"/>
    <cellStyle name="Standaard 4 2" xfId="1034"/>
    <cellStyle name="Standaard 4 3" xfId="1035"/>
    <cellStyle name="Standaard 4 4" xfId="1036"/>
    <cellStyle name="Standaard 4_Прайс Билдж розница от 03.07.17." xfId="1037"/>
    <cellStyle name="Standaard 5" xfId="1038"/>
    <cellStyle name="Standaard 5 2" xfId="1039"/>
    <cellStyle name="Standaard 5 3" xfId="1040"/>
    <cellStyle name="Standaard 5 4" xfId="1041"/>
    <cellStyle name="Standaard 5_Прайс Билдж розница от 03.07.17." xfId="1042"/>
    <cellStyle name="Standaard 6" xfId="1043"/>
    <cellStyle name="Standaard 6 2" xfId="1044"/>
    <cellStyle name="Standaard 6 3" xfId="1045"/>
    <cellStyle name="Standaard 6 4" xfId="1046"/>
    <cellStyle name="Standaard 6_Прайс Билдж розница от 03.07.17." xfId="1047"/>
    <cellStyle name="Standaard 7" xfId="1048"/>
    <cellStyle name="Standaard 7 2" xfId="1049"/>
    <cellStyle name="Standaard 7 3" xfId="1050"/>
    <cellStyle name="Standaard 7 4" xfId="1051"/>
    <cellStyle name="Standaard 7_Прайс Билдж розница от 03.07.17." xfId="1052"/>
    <cellStyle name="Standaard 8" xfId="1053"/>
    <cellStyle name="Standaard 8 10" xfId="1054"/>
    <cellStyle name="Standaard 8 11" xfId="1055"/>
    <cellStyle name="Standaard 8 12" xfId="1056"/>
    <cellStyle name="Standaard 8 13" xfId="1057"/>
    <cellStyle name="Standaard 8 14" xfId="1058"/>
    <cellStyle name="Standaard 8 2" xfId="1059"/>
    <cellStyle name="Standaard 8 3" xfId="1060"/>
    <cellStyle name="Standaard 8 4" xfId="1061"/>
    <cellStyle name="Standaard 8 5" xfId="1062"/>
    <cellStyle name="Standaard 8 6" xfId="1063"/>
    <cellStyle name="Standaard 8 7" xfId="1064"/>
    <cellStyle name="Standaard 8 8" xfId="1065"/>
    <cellStyle name="Standaard 8 9" xfId="1066"/>
    <cellStyle name="Standaard 8_Вентиляция Krovent 16.06.15" xfId="1067"/>
    <cellStyle name="Standaard 9" xfId="1068"/>
    <cellStyle name="Standaard 9 2" xfId="1069"/>
    <cellStyle name="Standaard 9 3" xfId="1070"/>
    <cellStyle name="Standaard 9 4" xfId="1071"/>
    <cellStyle name="Standaard 9_Прайс Билдж розница от 03.07.17." xfId="1072"/>
    <cellStyle name="Акцент1" xfId="1073" builtinId="29" customBuiltin="1"/>
    <cellStyle name="Акцент1 2" xfId="1074"/>
    <cellStyle name="Акцент1 2 2" xfId="1075"/>
    <cellStyle name="Акцент1 2 3" xfId="1076"/>
    <cellStyle name="Акцент1 2 4" xfId="1077"/>
    <cellStyle name="Акцент1 2_Прайс Билдж розница от 03.07.17." xfId="1078"/>
    <cellStyle name="Акцент1 3" xfId="1079"/>
    <cellStyle name="Акцент2" xfId="1080" builtinId="33" customBuiltin="1"/>
    <cellStyle name="Акцент2 2" xfId="1081"/>
    <cellStyle name="Акцент2 2 2" xfId="1082"/>
    <cellStyle name="Акцент2 2 3" xfId="1083"/>
    <cellStyle name="Акцент2 2 4" xfId="1084"/>
    <cellStyle name="Акцент2 2_Прайс Билдж розница от 03.07.17." xfId="1085"/>
    <cellStyle name="Акцент2 3" xfId="1086"/>
    <cellStyle name="Акцент3" xfId="1087" builtinId="37" customBuiltin="1"/>
    <cellStyle name="Акцент3 2" xfId="1088"/>
    <cellStyle name="Акцент3 2 2" xfId="1089"/>
    <cellStyle name="Акцент3 2 3" xfId="1090"/>
    <cellStyle name="Акцент3 2 4" xfId="1091"/>
    <cellStyle name="Акцент3 2_Прайс Билдж розница от 03.07.17." xfId="1092"/>
    <cellStyle name="Акцент3 3" xfId="1093"/>
    <cellStyle name="Акцент4" xfId="1094" builtinId="41" customBuiltin="1"/>
    <cellStyle name="Акцент4 2" xfId="1095"/>
    <cellStyle name="Акцент4 2 2" xfId="1096"/>
    <cellStyle name="Акцент4 2 3" xfId="1097"/>
    <cellStyle name="Акцент4 2 4" xfId="1098"/>
    <cellStyle name="Акцент4 2_Прайс Билдж розница от 03.07.17." xfId="1099"/>
    <cellStyle name="Акцент4 3" xfId="1100"/>
    <cellStyle name="Акцент5" xfId="1101" builtinId="45" customBuiltin="1"/>
    <cellStyle name="Акцент5 2" xfId="1102"/>
    <cellStyle name="Акцент5 2 2" xfId="1103"/>
    <cellStyle name="Акцент5 2 3" xfId="1104"/>
    <cellStyle name="Акцент5 2 4" xfId="1105"/>
    <cellStyle name="Акцент5 2_Прайс Билдж розница от 03.07.17." xfId="1106"/>
    <cellStyle name="Акцент5 3" xfId="1107"/>
    <cellStyle name="Акцент6" xfId="1108" builtinId="49" customBuiltin="1"/>
    <cellStyle name="Акцент6 2" xfId="1109"/>
    <cellStyle name="Акцент6 2 2" xfId="1110"/>
    <cellStyle name="Акцент6 2 3" xfId="1111"/>
    <cellStyle name="Акцент6 2 4" xfId="1112"/>
    <cellStyle name="Акцент6 2_Прайс Билдж розница от 03.07.17." xfId="1113"/>
    <cellStyle name="Акцент6 3" xfId="1114"/>
    <cellStyle name="Ввод " xfId="1115" builtinId="20" customBuiltin="1"/>
    <cellStyle name="Ввод  2" xfId="1116"/>
    <cellStyle name="Ввод  2 2" xfId="1117"/>
    <cellStyle name="Ввод  2 3" xfId="1118"/>
    <cellStyle name="Ввод  2 4" xfId="1119"/>
    <cellStyle name="Ввод  2_Прайс Билдж розница от 03.07.17." xfId="1120"/>
    <cellStyle name="Ввод  3" xfId="1121"/>
    <cellStyle name="Вывод" xfId="1122" builtinId="21" customBuiltin="1"/>
    <cellStyle name="Вывод 2" xfId="1123"/>
    <cellStyle name="Вывод 2 2" xfId="1124"/>
    <cellStyle name="Вывод 2 3" xfId="1125"/>
    <cellStyle name="Вывод 2 4" xfId="1126"/>
    <cellStyle name="Вывод 2_Прайс Билдж розница от 03.07.17." xfId="1127"/>
    <cellStyle name="Вывод 3" xfId="1128"/>
    <cellStyle name="Вычисление" xfId="1129" builtinId="22" customBuiltin="1"/>
    <cellStyle name="Вычисление 2" xfId="1130"/>
    <cellStyle name="Вычисление 2 2" xfId="1131"/>
    <cellStyle name="Вычисление 2 3" xfId="1132"/>
    <cellStyle name="Вычисление 2 4" xfId="1133"/>
    <cellStyle name="Вычисление 2_Прайс Билдж розница от 03.07.17." xfId="1134"/>
    <cellStyle name="Вычисление 3" xfId="1135"/>
    <cellStyle name="Гиперссылка 10" xfId="1136"/>
    <cellStyle name="Гиперссылка 11" xfId="1137"/>
    <cellStyle name="Гиперссылка 12" xfId="1138"/>
    <cellStyle name="Гиперссылка 13" xfId="1139"/>
    <cellStyle name="Гиперссылка 14" xfId="1140"/>
    <cellStyle name="Гиперссылка 2" xfId="1141"/>
    <cellStyle name="Гиперссылка 2 10" xfId="1142"/>
    <cellStyle name="Гиперссылка 2 11" xfId="1143"/>
    <cellStyle name="Гиперссылка 2 12" xfId="1144"/>
    <cellStyle name="Гиперссылка 2 2" xfId="1145"/>
    <cellStyle name="Гиперссылка 2 3" xfId="1146"/>
    <cellStyle name="Гиперссылка 2 4" xfId="1147"/>
    <cellStyle name="Гиперссылка 2 5" xfId="1148"/>
    <cellStyle name="Гиперссылка 2 6" xfId="1149"/>
    <cellStyle name="Гиперссылка 2 7" xfId="1150"/>
    <cellStyle name="Гиперссылка 2 8" xfId="1151"/>
    <cellStyle name="Гиперссылка 2 9" xfId="1152"/>
    <cellStyle name="Гиперссылка 3" xfId="1153"/>
    <cellStyle name="Гиперссылка 3 10" xfId="1154"/>
    <cellStyle name="Гиперссылка 3 11" xfId="1155"/>
    <cellStyle name="Гиперссылка 3 2" xfId="1156"/>
    <cellStyle name="Гиперссылка 3 3" xfId="1157"/>
    <cellStyle name="Гиперссылка 3 4" xfId="1158"/>
    <cellStyle name="Гиперссылка 3 5" xfId="1159"/>
    <cellStyle name="Гиперссылка 3 6" xfId="1160"/>
    <cellStyle name="Гиперссылка 3 7" xfId="1161"/>
    <cellStyle name="Гиперссылка 3 8" xfId="1162"/>
    <cellStyle name="Гиперссылка 3 9" xfId="1163"/>
    <cellStyle name="Гиперссылка 3_Прайс Билдж розница от 03.07.17." xfId="1164"/>
    <cellStyle name="Гиперссылка 4" xfId="1165"/>
    <cellStyle name="Гиперссылка 5" xfId="1166"/>
    <cellStyle name="Гиперссылка 6" xfId="1167"/>
    <cellStyle name="Гиперссылка 7" xfId="1168"/>
    <cellStyle name="Гиперссылка 8" xfId="1169"/>
    <cellStyle name="Гиперссылка 9" xfId="1170"/>
    <cellStyle name="Денежный 2" xfId="1171"/>
    <cellStyle name="Заголовок 1" xfId="1172" builtinId="16" customBuiltin="1"/>
    <cellStyle name="Заголовок 1 2" xfId="1173"/>
    <cellStyle name="Заголовок 1 3" xfId="1174"/>
    <cellStyle name="Заголовок 2" xfId="1175" builtinId="17" customBuiltin="1"/>
    <cellStyle name="Заголовок 2 2" xfId="1176"/>
    <cellStyle name="Заголовок 2 3" xfId="1177"/>
    <cellStyle name="Заголовок 3" xfId="1178" builtinId="18" customBuiltin="1"/>
    <cellStyle name="Заголовок 3 2" xfId="1179"/>
    <cellStyle name="Заголовок 3 3" xfId="1180"/>
    <cellStyle name="Заголовок 4" xfId="1181" builtinId="19" customBuiltin="1"/>
    <cellStyle name="Заголовок 4 2" xfId="1182"/>
    <cellStyle name="Заголовок 4 3" xfId="1183"/>
    <cellStyle name="Заголовок сводной таблицы" xfId="1184"/>
    <cellStyle name="Итог" xfId="1185" builtinId="25" customBuiltin="1"/>
    <cellStyle name="Итог 2" xfId="1186"/>
    <cellStyle name="Итог 3" xfId="1187"/>
    <cellStyle name="Категория сводной таблицы" xfId="1188"/>
    <cellStyle name="Контрольная ячейка" xfId="1189" builtinId="23" customBuiltin="1"/>
    <cellStyle name="Контрольная ячейка 2" xfId="1190"/>
    <cellStyle name="Контрольная ячейка 2 2" xfId="1191"/>
    <cellStyle name="Контрольная ячейка 2 3" xfId="1192"/>
    <cellStyle name="Контрольная ячейка 2 4" xfId="1193"/>
    <cellStyle name="Контрольная ячейка 2_Прайс Билдж розница от 03.07.17." xfId="1194"/>
    <cellStyle name="Контрольная ячейка 3" xfId="1195"/>
    <cellStyle name="Название" xfId="1196" builtinId="15" customBuiltin="1"/>
    <cellStyle name="Название 2" xfId="1197"/>
    <cellStyle name="Название 3" xfId="1198"/>
    <cellStyle name="Нейтральный" xfId="1199" builtinId="28" customBuiltin="1"/>
    <cellStyle name="Нейтральный 2" xfId="1200"/>
    <cellStyle name="Нейтральный 2 2" xfId="1201"/>
    <cellStyle name="Нейтральный 2 3" xfId="1202"/>
    <cellStyle name="Нейтральный 2 4" xfId="1203"/>
    <cellStyle name="Нейтральный 2_Прайс Билдж розница от 03.07.17." xfId="1204"/>
    <cellStyle name="Нейтральный 3" xfId="1205"/>
    <cellStyle name="Обычный" xfId="0" builtinId="0"/>
    <cellStyle name="Обычный 10" xfId="1206"/>
    <cellStyle name="Обычный 10 10" xfId="1207"/>
    <cellStyle name="Обычный 10 11" xfId="1208"/>
    <cellStyle name="Обычный 10 12" xfId="1209"/>
    <cellStyle name="Обычный 10 2" xfId="1210"/>
    <cellStyle name="Обычный 10 2 10" xfId="1211"/>
    <cellStyle name="Обычный 10 2 11" xfId="1212"/>
    <cellStyle name="Обычный 10 2 2" xfId="1213"/>
    <cellStyle name="Обычный 10 2 3" xfId="1214"/>
    <cellStyle name="Обычный 10 2 4" xfId="1215"/>
    <cellStyle name="Обычный 10 2 5" xfId="1216"/>
    <cellStyle name="Обычный 10 2 6" xfId="1217"/>
    <cellStyle name="Обычный 10 2 7" xfId="1218"/>
    <cellStyle name="Обычный 10 2 8" xfId="1219"/>
    <cellStyle name="Обычный 10 2 9" xfId="1220"/>
    <cellStyle name="Обычный 10 3" xfId="1221"/>
    <cellStyle name="Обычный 10 4" xfId="1222"/>
    <cellStyle name="Обычный 10 5" xfId="1223"/>
    <cellStyle name="Обычный 10 6" xfId="1224"/>
    <cellStyle name="Обычный 10 7" xfId="1225"/>
    <cellStyle name="Обычный 10 8" xfId="1226"/>
    <cellStyle name="Обычный 10 9" xfId="1227"/>
    <cellStyle name="Обычный 10_инструмент" xfId="1228"/>
    <cellStyle name="Обычный 11" xfId="1229"/>
    <cellStyle name="Обычный 11 10" xfId="1230"/>
    <cellStyle name="Обычный 11 11" xfId="1231"/>
    <cellStyle name="Обычный 11 12" xfId="1232"/>
    <cellStyle name="Обычный 11 13" xfId="1233"/>
    <cellStyle name="Обычный 11 2" xfId="1234"/>
    <cellStyle name="Обычный 11 3" xfId="1235"/>
    <cellStyle name="Обычный 11 4" xfId="1236"/>
    <cellStyle name="Обычный 11 5" xfId="1237"/>
    <cellStyle name="Обычный 11 6" xfId="1238"/>
    <cellStyle name="Обычный 11 7" xfId="1239"/>
    <cellStyle name="Обычный 11 8" xfId="1240"/>
    <cellStyle name="Обычный 11 9" xfId="1241"/>
    <cellStyle name="Обычный 11_Прайс Билдж дилерА от 02.12.15" xfId="1242"/>
    <cellStyle name="Обычный 12" xfId="1243"/>
    <cellStyle name="Обычный 12 10" xfId="1244"/>
    <cellStyle name="Обычный 12 11" xfId="1245"/>
    <cellStyle name="Обычный 12 2" xfId="1246"/>
    <cellStyle name="Обычный 12 3" xfId="1247"/>
    <cellStyle name="Обычный 12 4" xfId="1248"/>
    <cellStyle name="Обычный 12 5" xfId="1249"/>
    <cellStyle name="Обычный 12 6" xfId="1250"/>
    <cellStyle name="Обычный 12 7" xfId="1251"/>
    <cellStyle name="Обычный 12 8" xfId="1252"/>
    <cellStyle name="Обычный 12 9" xfId="1253"/>
    <cellStyle name="Обычный 13" xfId="1254"/>
    <cellStyle name="Обычный 13 10" xfId="1255"/>
    <cellStyle name="Обычный 13 11" xfId="1256"/>
    <cellStyle name="Обычный 13 2" xfId="1257"/>
    <cellStyle name="Обычный 13 3" xfId="1258"/>
    <cellStyle name="Обычный 13 4" xfId="1259"/>
    <cellStyle name="Обычный 13 5" xfId="1260"/>
    <cellStyle name="Обычный 13 6" xfId="1261"/>
    <cellStyle name="Обычный 13 7" xfId="1262"/>
    <cellStyle name="Обычный 13 8" xfId="1263"/>
    <cellStyle name="Обычный 13 9" xfId="1264"/>
    <cellStyle name="Обычный 14" xfId="1265"/>
    <cellStyle name="Обычный 14 10" xfId="1266"/>
    <cellStyle name="Обычный 14 11" xfId="1267"/>
    <cellStyle name="Обычный 14 12" xfId="1268"/>
    <cellStyle name="Обычный 14 2" xfId="1269"/>
    <cellStyle name="Обычный 14 3" xfId="1270"/>
    <cellStyle name="Обычный 14 4" xfId="1271"/>
    <cellStyle name="Обычный 14 5" xfId="1272"/>
    <cellStyle name="Обычный 14 6" xfId="1273"/>
    <cellStyle name="Обычный 14 7" xfId="1274"/>
    <cellStyle name="Обычный 14 8" xfId="1275"/>
    <cellStyle name="Обычный 14 9" xfId="1276"/>
    <cellStyle name="Обычный 14_Прайс Билдж дилерА от 02.12.15" xfId="1277"/>
    <cellStyle name="Обычный 15" xfId="1278"/>
    <cellStyle name="Обычный 15 10" xfId="1279"/>
    <cellStyle name="Обычный 15 11" xfId="1280"/>
    <cellStyle name="Обычный 15 12" xfId="1281"/>
    <cellStyle name="Обычный 15 2" xfId="1282"/>
    <cellStyle name="Обычный 15 3" xfId="1283"/>
    <cellStyle name="Обычный 15 4" xfId="1284"/>
    <cellStyle name="Обычный 15 5" xfId="1285"/>
    <cellStyle name="Обычный 15 6" xfId="1286"/>
    <cellStyle name="Обычный 15 7" xfId="1287"/>
    <cellStyle name="Обычный 15 8" xfId="1288"/>
    <cellStyle name="Обычный 15 9" xfId="1289"/>
    <cellStyle name="Обычный 16" xfId="1290"/>
    <cellStyle name="Обычный 16 10" xfId="1291"/>
    <cellStyle name="Обычный 16 11" xfId="1292"/>
    <cellStyle name="Обычный 16 2" xfId="1293"/>
    <cellStyle name="Обычный 16 3" xfId="1294"/>
    <cellStyle name="Обычный 16 4" xfId="1295"/>
    <cellStyle name="Обычный 16 5" xfId="1296"/>
    <cellStyle name="Обычный 16 6" xfId="1297"/>
    <cellStyle name="Обычный 16 7" xfId="1298"/>
    <cellStyle name="Обычный 16 8" xfId="1299"/>
    <cellStyle name="Обычный 16 9" xfId="1300"/>
    <cellStyle name="Обычный 17" xfId="1301"/>
    <cellStyle name="Обычный 17 10" xfId="1302"/>
    <cellStyle name="Обычный 17 11" xfId="1303"/>
    <cellStyle name="Обычный 17 2" xfId="1304"/>
    <cellStyle name="Обычный 17 3" xfId="1305"/>
    <cellStyle name="Обычный 17 4" xfId="1306"/>
    <cellStyle name="Обычный 17 5" xfId="1307"/>
    <cellStyle name="Обычный 17 6" xfId="1308"/>
    <cellStyle name="Обычный 17 7" xfId="1309"/>
    <cellStyle name="Обычный 17 8" xfId="1310"/>
    <cellStyle name="Обычный 17 9" xfId="1311"/>
    <cellStyle name="Обычный 18" xfId="1312"/>
    <cellStyle name="Обычный 18 10" xfId="1313"/>
    <cellStyle name="Обычный 18 11" xfId="1314"/>
    <cellStyle name="Обычный 18 2" xfId="1315"/>
    <cellStyle name="Обычный 18 3" xfId="1316"/>
    <cellStyle name="Обычный 18 4" xfId="1317"/>
    <cellStyle name="Обычный 18 5" xfId="1318"/>
    <cellStyle name="Обычный 18 6" xfId="1319"/>
    <cellStyle name="Обычный 18 7" xfId="1320"/>
    <cellStyle name="Обычный 18 8" xfId="1321"/>
    <cellStyle name="Обычный 18 9" xfId="1322"/>
    <cellStyle name="Обычный 19" xfId="1323"/>
    <cellStyle name="Обычный 19 10" xfId="1324"/>
    <cellStyle name="Обычный 19 11" xfId="1325"/>
    <cellStyle name="Обычный 19 2" xfId="1326"/>
    <cellStyle name="Обычный 19 3" xfId="1327"/>
    <cellStyle name="Обычный 19 4" xfId="1328"/>
    <cellStyle name="Обычный 19 5" xfId="1329"/>
    <cellStyle name="Обычный 19 6" xfId="1330"/>
    <cellStyle name="Обычный 19 7" xfId="1331"/>
    <cellStyle name="Обычный 19 8" xfId="1332"/>
    <cellStyle name="Обычный 19 9" xfId="1333"/>
    <cellStyle name="Обычный 2" xfId="1334"/>
    <cellStyle name="Обычный 2 2" xfId="1335"/>
    <cellStyle name="Обычный 2 2 10" xfId="1336"/>
    <cellStyle name="Обычный 2 2 11" xfId="1337"/>
    <cellStyle name="Обычный 2 2 12" xfId="1338"/>
    <cellStyle name="Обычный 2 2 13" xfId="1339"/>
    <cellStyle name="Обычный 2 2 2" xfId="1340"/>
    <cellStyle name="Обычный 2 2 2 2" xfId="1341"/>
    <cellStyle name="Обычный 2 2 2_Прайс Билдж розница от 21.07.15" xfId="1342"/>
    <cellStyle name="Обычный 2 2 3" xfId="1343"/>
    <cellStyle name="Обычный 2 2 4" xfId="1344"/>
    <cellStyle name="Обычный 2 2 5" xfId="1345"/>
    <cellStyle name="Обычный 2 2 6" xfId="1346"/>
    <cellStyle name="Обычный 2 2 7" xfId="1347"/>
    <cellStyle name="Обычный 2 2 8" xfId="1348"/>
    <cellStyle name="Обычный 2 2 9" xfId="1349"/>
    <cellStyle name="Обычный 2 2_Вентиляция Krovent 16.06.15" xfId="1350"/>
    <cellStyle name="Обычный 2 3" xfId="1351"/>
    <cellStyle name="Обычный 2 3 10" xfId="1352"/>
    <cellStyle name="Обычный 2 3 11" xfId="1353"/>
    <cellStyle name="Обычный 2 3 2" xfId="1354"/>
    <cellStyle name="Обычный 2 3 3" xfId="1355"/>
    <cellStyle name="Обычный 2 3 4" xfId="1356"/>
    <cellStyle name="Обычный 2 3 5" xfId="1357"/>
    <cellStyle name="Обычный 2 3 6" xfId="1358"/>
    <cellStyle name="Обычный 2 3 7" xfId="1359"/>
    <cellStyle name="Обычный 2 3 8" xfId="1360"/>
    <cellStyle name="Обычный 2 3 9" xfId="1361"/>
    <cellStyle name="Обычный 2 3_Прайс Билдж розница от 03.07.17." xfId="1362"/>
    <cellStyle name="Обычный 2 4" xfId="1363"/>
    <cellStyle name="Обычный 2_Аквасток 1" xfId="1364"/>
    <cellStyle name="Обычный 20" xfId="1365"/>
    <cellStyle name="Обычный 20 10" xfId="1366"/>
    <cellStyle name="Обычный 20 11" xfId="1367"/>
    <cellStyle name="Обычный 20 2" xfId="1368"/>
    <cellStyle name="Обычный 20 3" xfId="1369"/>
    <cellStyle name="Обычный 20 4" xfId="1370"/>
    <cellStyle name="Обычный 20 5" xfId="1371"/>
    <cellStyle name="Обычный 20 6" xfId="1372"/>
    <cellStyle name="Обычный 20 7" xfId="1373"/>
    <cellStyle name="Обычный 20 8" xfId="1374"/>
    <cellStyle name="Обычный 20 9" xfId="1375"/>
    <cellStyle name="Обычный 21" xfId="1376"/>
    <cellStyle name="Обычный 21 10" xfId="1377"/>
    <cellStyle name="Обычный 21 11" xfId="1378"/>
    <cellStyle name="Обычный 21 2" xfId="1379"/>
    <cellStyle name="Обычный 21 3" xfId="1380"/>
    <cellStyle name="Обычный 21 4" xfId="1381"/>
    <cellStyle name="Обычный 21 5" xfId="1382"/>
    <cellStyle name="Обычный 21 6" xfId="1383"/>
    <cellStyle name="Обычный 21 7" xfId="1384"/>
    <cellStyle name="Обычный 21 8" xfId="1385"/>
    <cellStyle name="Обычный 21 9" xfId="1386"/>
    <cellStyle name="Обычный 22" xfId="1387"/>
    <cellStyle name="Обычный 22 10" xfId="1388"/>
    <cellStyle name="Обычный 22 11" xfId="1389"/>
    <cellStyle name="Обычный 22 2" xfId="1390"/>
    <cellStyle name="Обычный 22 3" xfId="1391"/>
    <cellStyle name="Обычный 22 4" xfId="1392"/>
    <cellStyle name="Обычный 22 5" xfId="1393"/>
    <cellStyle name="Обычный 22 6" xfId="1394"/>
    <cellStyle name="Обычный 22 7" xfId="1395"/>
    <cellStyle name="Обычный 22 8" xfId="1396"/>
    <cellStyle name="Обычный 22 9" xfId="1397"/>
    <cellStyle name="Обычный 23" xfId="1398"/>
    <cellStyle name="Обычный 23 10" xfId="1399"/>
    <cellStyle name="Обычный 23 11" xfId="1400"/>
    <cellStyle name="Обычный 23 2" xfId="1401"/>
    <cellStyle name="Обычный 23 3" xfId="1402"/>
    <cellStyle name="Обычный 23 4" xfId="1403"/>
    <cellStyle name="Обычный 23 5" xfId="1404"/>
    <cellStyle name="Обычный 23 6" xfId="1405"/>
    <cellStyle name="Обычный 23 7" xfId="1406"/>
    <cellStyle name="Обычный 23 8" xfId="1407"/>
    <cellStyle name="Обычный 23 9" xfId="1408"/>
    <cellStyle name="Обычный 24" xfId="1409"/>
    <cellStyle name="Обычный 25" xfId="1410"/>
    <cellStyle name="Обычный 26" xfId="1411"/>
    <cellStyle name="Обычный 26 10" xfId="1412"/>
    <cellStyle name="Обычный 26 11" xfId="1413"/>
    <cellStyle name="Обычный 26 2" xfId="1414"/>
    <cellStyle name="Обычный 26 3" xfId="1415"/>
    <cellStyle name="Обычный 26 4" xfId="1416"/>
    <cellStyle name="Обычный 26 5" xfId="1417"/>
    <cellStyle name="Обычный 26 6" xfId="1418"/>
    <cellStyle name="Обычный 26 7" xfId="1419"/>
    <cellStyle name="Обычный 26 8" xfId="1420"/>
    <cellStyle name="Обычный 26 9" xfId="1421"/>
    <cellStyle name="Обычный 3" xfId="1422"/>
    <cellStyle name="Обычный 3 2" xfId="1423"/>
    <cellStyle name="Обычный 3_Прайс Билдж дилер АСЗ от 05.10.15" xfId="1424"/>
    <cellStyle name="Обычный 30" xfId="1425"/>
    <cellStyle name="Обычный 4" xfId="1426"/>
    <cellStyle name="Обычный 4 2" xfId="1427"/>
    <cellStyle name="Обычный 4 3" xfId="1428"/>
    <cellStyle name="Обычный 4 4" xfId="1429"/>
    <cellStyle name="Обычный 4_~2131575" xfId="1430"/>
    <cellStyle name="Обычный 5" xfId="1431"/>
    <cellStyle name="Обычный 5 2" xfId="1432"/>
    <cellStyle name="Обычный 6" xfId="1433"/>
    <cellStyle name="Обычный 6 10" xfId="1434"/>
    <cellStyle name="Обычный 6 11" xfId="1435"/>
    <cellStyle name="Обычный 6 12" xfId="1436"/>
    <cellStyle name="Обычный 6 13" xfId="1437"/>
    <cellStyle name="Обычный 6 14" xfId="1438"/>
    <cellStyle name="Обычный 6 15" xfId="1439"/>
    <cellStyle name="Обычный 6 2" xfId="1440"/>
    <cellStyle name="Обычный 6 3" xfId="1441"/>
    <cellStyle name="Обычный 6 3 10" xfId="1442"/>
    <cellStyle name="Обычный 6 3 11" xfId="1443"/>
    <cellStyle name="Обычный 6 3 2" xfId="1444"/>
    <cellStyle name="Обычный 6 3 3" xfId="1445"/>
    <cellStyle name="Обычный 6 3 4" xfId="1446"/>
    <cellStyle name="Обычный 6 3 5" xfId="1447"/>
    <cellStyle name="Обычный 6 3 6" xfId="1448"/>
    <cellStyle name="Обычный 6 3 7" xfId="1449"/>
    <cellStyle name="Обычный 6 3 8" xfId="1450"/>
    <cellStyle name="Обычный 6 3 9" xfId="1451"/>
    <cellStyle name="Обычный 6 4" xfId="1452"/>
    <cellStyle name="Обычный 6 5" xfId="1453"/>
    <cellStyle name="Обычный 6 5 10" xfId="1454"/>
    <cellStyle name="Обычный 6 5 11" xfId="1455"/>
    <cellStyle name="Обычный 6 5 2" xfId="1456"/>
    <cellStyle name="Обычный 6 5 3" xfId="1457"/>
    <cellStyle name="Обычный 6 5 4" xfId="1458"/>
    <cellStyle name="Обычный 6 5 5" xfId="1459"/>
    <cellStyle name="Обычный 6 5 6" xfId="1460"/>
    <cellStyle name="Обычный 6 5 7" xfId="1461"/>
    <cellStyle name="Обычный 6 5 8" xfId="1462"/>
    <cellStyle name="Обычный 6 5 9" xfId="1463"/>
    <cellStyle name="Обычный 6 6" xfId="1464"/>
    <cellStyle name="Обычный 6 7" xfId="1465"/>
    <cellStyle name="Обычный 6 8" xfId="1466"/>
    <cellStyle name="Обычный 6 9" xfId="1467"/>
    <cellStyle name="Обычный 6_инструмент" xfId="1468"/>
    <cellStyle name="Обычный 7" xfId="1469"/>
    <cellStyle name="Обычный 7 10" xfId="1470"/>
    <cellStyle name="Обычный 7 11" xfId="1471"/>
    <cellStyle name="Обычный 7 12" xfId="1472"/>
    <cellStyle name="Обычный 7 2" xfId="1473"/>
    <cellStyle name="Обычный 7 2 10" xfId="1474"/>
    <cellStyle name="Обычный 7 2 11" xfId="1475"/>
    <cellStyle name="Обычный 7 2 2" xfId="1476"/>
    <cellStyle name="Обычный 7 2 3" xfId="1477"/>
    <cellStyle name="Обычный 7 2 4" xfId="1478"/>
    <cellStyle name="Обычный 7 2 5" xfId="1479"/>
    <cellStyle name="Обычный 7 2 6" xfId="1480"/>
    <cellStyle name="Обычный 7 2 7" xfId="1481"/>
    <cellStyle name="Обычный 7 2 8" xfId="1482"/>
    <cellStyle name="Обычный 7 2 9" xfId="1483"/>
    <cellStyle name="Обычный 7 3" xfId="1484"/>
    <cellStyle name="Обычный 7 4" xfId="1485"/>
    <cellStyle name="Обычный 7 5" xfId="1486"/>
    <cellStyle name="Обычный 7 6" xfId="1487"/>
    <cellStyle name="Обычный 7 7" xfId="1488"/>
    <cellStyle name="Обычный 7 8" xfId="1489"/>
    <cellStyle name="Обычный 7 9" xfId="1490"/>
    <cellStyle name="Обычный 7_инструмент" xfId="1491"/>
    <cellStyle name="Обычный 8" xfId="1492"/>
    <cellStyle name="Обычный 8 10" xfId="1493"/>
    <cellStyle name="Обычный 8 11" xfId="1494"/>
    <cellStyle name="Обычный 8 12" xfId="1495"/>
    <cellStyle name="Обычный 8 2" xfId="1496"/>
    <cellStyle name="Обычный 8 2 10" xfId="1497"/>
    <cellStyle name="Обычный 8 2 11" xfId="1498"/>
    <cellStyle name="Обычный 8 2 2" xfId="1499"/>
    <cellStyle name="Обычный 8 2 3" xfId="1500"/>
    <cellStyle name="Обычный 8 2 4" xfId="1501"/>
    <cellStyle name="Обычный 8 2 5" xfId="1502"/>
    <cellStyle name="Обычный 8 2 6" xfId="1503"/>
    <cellStyle name="Обычный 8 2 7" xfId="1504"/>
    <cellStyle name="Обычный 8 2 8" xfId="1505"/>
    <cellStyle name="Обычный 8 2 9" xfId="1506"/>
    <cellStyle name="Обычный 8 3" xfId="1507"/>
    <cellStyle name="Обычный 8 4" xfId="1508"/>
    <cellStyle name="Обычный 8 5" xfId="1509"/>
    <cellStyle name="Обычный 8 6" xfId="1510"/>
    <cellStyle name="Обычный 8 7" xfId="1511"/>
    <cellStyle name="Обычный 8 8" xfId="1512"/>
    <cellStyle name="Обычный 8 9" xfId="1513"/>
    <cellStyle name="Обычный 8_инструмент" xfId="1514"/>
    <cellStyle name="Обычный 9" xfId="1515"/>
    <cellStyle name="Обычный 9 10" xfId="1516"/>
    <cellStyle name="Обычный 9 11" xfId="1517"/>
    <cellStyle name="Обычный 9 12" xfId="1518"/>
    <cellStyle name="Обычный 9 13" xfId="1519"/>
    <cellStyle name="Обычный 9 14" xfId="1520"/>
    <cellStyle name="Обычный 9 15" xfId="1521"/>
    <cellStyle name="Обычный 9 16" xfId="1522"/>
    <cellStyle name="Обычный 9 17" xfId="1523"/>
    <cellStyle name="Обычный 9 18" xfId="1524"/>
    <cellStyle name="Обычный 9 19" xfId="1525"/>
    <cellStyle name="Обычный 9 2" xfId="1526"/>
    <cellStyle name="Обычный 9 2 10" xfId="1527"/>
    <cellStyle name="Обычный 9 2 11" xfId="1528"/>
    <cellStyle name="Обычный 9 2 2" xfId="1529"/>
    <cellStyle name="Обычный 9 2 3" xfId="1530"/>
    <cellStyle name="Обычный 9 2 4" xfId="1531"/>
    <cellStyle name="Обычный 9 2 5" xfId="1532"/>
    <cellStyle name="Обычный 9 2 6" xfId="1533"/>
    <cellStyle name="Обычный 9 2 7" xfId="1534"/>
    <cellStyle name="Обычный 9 2 8" xfId="1535"/>
    <cellStyle name="Обычный 9 2 9" xfId="1536"/>
    <cellStyle name="Обычный 9 20" xfId="1537"/>
    <cellStyle name="Обычный 9 3" xfId="1538"/>
    <cellStyle name="Обычный 9 3 10" xfId="1539"/>
    <cellStyle name="Обычный 9 3 11" xfId="1540"/>
    <cellStyle name="Обычный 9 3 2" xfId="1541"/>
    <cellStyle name="Обычный 9 3 3" xfId="1542"/>
    <cellStyle name="Обычный 9 3 4" xfId="1543"/>
    <cellStyle name="Обычный 9 3 5" xfId="1544"/>
    <cellStyle name="Обычный 9 3 6" xfId="1545"/>
    <cellStyle name="Обычный 9 3 7" xfId="1546"/>
    <cellStyle name="Обычный 9 3 8" xfId="1547"/>
    <cellStyle name="Обычный 9 3 9" xfId="1548"/>
    <cellStyle name="Обычный 9 4" xfId="1549"/>
    <cellStyle name="Обычный 9 4 10" xfId="1550"/>
    <cellStyle name="Обычный 9 4 11" xfId="1551"/>
    <cellStyle name="Обычный 9 4 2" xfId="1552"/>
    <cellStyle name="Обычный 9 4 3" xfId="1553"/>
    <cellStyle name="Обычный 9 4 4" xfId="1554"/>
    <cellStyle name="Обычный 9 4 5" xfId="1555"/>
    <cellStyle name="Обычный 9 4 6" xfId="1556"/>
    <cellStyle name="Обычный 9 4 7" xfId="1557"/>
    <cellStyle name="Обычный 9 4 8" xfId="1558"/>
    <cellStyle name="Обычный 9 4 9" xfId="1559"/>
    <cellStyle name="Обычный 9 5" xfId="1560"/>
    <cellStyle name="Обычный 9 5 10" xfId="1561"/>
    <cellStyle name="Обычный 9 5 11" xfId="1562"/>
    <cellStyle name="Обычный 9 5 2" xfId="1563"/>
    <cellStyle name="Обычный 9 5 3" xfId="1564"/>
    <cellStyle name="Обычный 9 5 4" xfId="1565"/>
    <cellStyle name="Обычный 9 5 5" xfId="1566"/>
    <cellStyle name="Обычный 9 5 6" xfId="1567"/>
    <cellStyle name="Обычный 9 5 7" xfId="1568"/>
    <cellStyle name="Обычный 9 5 8" xfId="1569"/>
    <cellStyle name="Обычный 9 5 9" xfId="1570"/>
    <cellStyle name="Обычный 9 6" xfId="1571"/>
    <cellStyle name="Обычный 9 6 10" xfId="1572"/>
    <cellStyle name="Обычный 9 6 11" xfId="1573"/>
    <cellStyle name="Обычный 9 6 2" xfId="1574"/>
    <cellStyle name="Обычный 9 6 3" xfId="1575"/>
    <cellStyle name="Обычный 9 6 4" xfId="1576"/>
    <cellStyle name="Обычный 9 6 5" xfId="1577"/>
    <cellStyle name="Обычный 9 6 6" xfId="1578"/>
    <cellStyle name="Обычный 9 6 7" xfId="1579"/>
    <cellStyle name="Обычный 9 6 8" xfId="1580"/>
    <cellStyle name="Обычный 9 6 9" xfId="1581"/>
    <cellStyle name="Обычный 9 7" xfId="1582"/>
    <cellStyle name="Обычный 9 7 10" xfId="1583"/>
    <cellStyle name="Обычный 9 7 11" xfId="1584"/>
    <cellStyle name="Обычный 9 7 2" xfId="1585"/>
    <cellStyle name="Обычный 9 7 3" xfId="1586"/>
    <cellStyle name="Обычный 9 7 4" xfId="1587"/>
    <cellStyle name="Обычный 9 7 5" xfId="1588"/>
    <cellStyle name="Обычный 9 7 6" xfId="1589"/>
    <cellStyle name="Обычный 9 7 7" xfId="1590"/>
    <cellStyle name="Обычный 9 7 8" xfId="1591"/>
    <cellStyle name="Обычный 9 7 9" xfId="1592"/>
    <cellStyle name="Обычный 9 8" xfId="1593"/>
    <cellStyle name="Обычный 9 8 10" xfId="1594"/>
    <cellStyle name="Обычный 9 8 11" xfId="1595"/>
    <cellStyle name="Обычный 9 8 2" xfId="1596"/>
    <cellStyle name="Обычный 9 8 3" xfId="1597"/>
    <cellStyle name="Обычный 9 8 4" xfId="1598"/>
    <cellStyle name="Обычный 9 8 5" xfId="1599"/>
    <cellStyle name="Обычный 9 8 6" xfId="1600"/>
    <cellStyle name="Обычный 9 8 7" xfId="1601"/>
    <cellStyle name="Обычный 9 8 8" xfId="1602"/>
    <cellStyle name="Обычный 9 8 9" xfId="1603"/>
    <cellStyle name="Обычный 9 9" xfId="1604"/>
    <cellStyle name="Обычный 9 9 10" xfId="1605"/>
    <cellStyle name="Обычный 9 9 11" xfId="1606"/>
    <cellStyle name="Обычный 9 9 2" xfId="1607"/>
    <cellStyle name="Обычный 9 9 3" xfId="1608"/>
    <cellStyle name="Обычный 9 9 4" xfId="1609"/>
    <cellStyle name="Обычный 9 9 5" xfId="1610"/>
    <cellStyle name="Обычный 9 9 6" xfId="1611"/>
    <cellStyle name="Обычный 9 9 7" xfId="1612"/>
    <cellStyle name="Обычный 9 9 8" xfId="1613"/>
    <cellStyle name="Обычный 9 9 9" xfId="1614"/>
    <cellStyle name="Обычный 9_инструмент" xfId="1615"/>
    <cellStyle name="Обычный_Прайс Билдж розница от 03.07.17." xfId="1616"/>
    <cellStyle name="Плохой" xfId="1617" builtinId="27" customBuiltin="1"/>
    <cellStyle name="Плохой 2" xfId="1618"/>
    <cellStyle name="Плохой 2 2" xfId="1619"/>
    <cellStyle name="Плохой 2 3" xfId="1620"/>
    <cellStyle name="Плохой 2 4" xfId="1621"/>
    <cellStyle name="Плохой 2_Прайс Билдж розница от 03.07.17." xfId="1622"/>
    <cellStyle name="Плохой 3" xfId="1623"/>
    <cellStyle name="Пояснение" xfId="1624" builtinId="53" customBuiltin="1"/>
    <cellStyle name="Пояснение 2" xfId="1625"/>
    <cellStyle name="Пояснение 3" xfId="1626"/>
    <cellStyle name="Примечание" xfId="1627" builtinId="10" customBuiltin="1"/>
    <cellStyle name="Примечание 2" xfId="1628"/>
    <cellStyle name="Примечание 2 2" xfId="1629"/>
    <cellStyle name="Примечание 2 3" xfId="1630"/>
    <cellStyle name="Примечание 2 4" xfId="1631"/>
    <cellStyle name="Примечание 2_Прайс Билдж металлочерепица от 09.08.17" xfId="1632"/>
    <cellStyle name="Примечание 3" xfId="1633"/>
    <cellStyle name="Процентный 2" xfId="1634"/>
    <cellStyle name="Процентный 2 2" xfId="1635"/>
    <cellStyle name="Процентный 2 3" xfId="1636"/>
    <cellStyle name="Процентный 2 4" xfId="1637"/>
    <cellStyle name="Процентный 2_Прайс Билдж металлочерепица от 09.08.17" xfId="1638"/>
    <cellStyle name="Процентный 3" xfId="1639"/>
    <cellStyle name="Процентный 3 2" xfId="1640"/>
    <cellStyle name="Процентный 3 3" xfId="1641"/>
    <cellStyle name="Процентный 3 4" xfId="1642"/>
    <cellStyle name="Процентный 3_Прайс Билдж металлочерепица от 09.08.17" xfId="1643"/>
    <cellStyle name="Процентный 4" xfId="1644"/>
    <cellStyle name="Процентный 4 2" xfId="1645"/>
    <cellStyle name="Процентный 4 3" xfId="1646"/>
    <cellStyle name="Процентный 4_Прайс Билдж металлочерепица от 09.08.17" xfId="1647"/>
    <cellStyle name="Процентный 5" xfId="1648"/>
    <cellStyle name="Процентный 6" xfId="1649"/>
    <cellStyle name="Связанная ячейка" xfId="1650" builtinId="24" customBuiltin="1"/>
    <cellStyle name="Связанная ячейка 2" xfId="1651"/>
    <cellStyle name="Связанная ячейка 3" xfId="1652"/>
    <cellStyle name="Стиль 1" xfId="1653"/>
    <cellStyle name="Стиль 1 10" xfId="1654"/>
    <cellStyle name="Стиль 1 11" xfId="1655"/>
    <cellStyle name="Стиль 1 2" xfId="1656"/>
    <cellStyle name="Стиль 1 3" xfId="1657"/>
    <cellStyle name="Стиль 1 4" xfId="1658"/>
    <cellStyle name="Стиль 1 5" xfId="1659"/>
    <cellStyle name="Стиль 1 6" xfId="1660"/>
    <cellStyle name="Стиль 1 7" xfId="1661"/>
    <cellStyle name="Стиль 1 8" xfId="1662"/>
    <cellStyle name="Стиль 1 9" xfId="1663"/>
    <cellStyle name="Стиль 1_Прайс Билдж металлочерепица от 09.08.17" xfId="1664"/>
    <cellStyle name="Текст предупреждения" xfId="1665" builtinId="11" customBuiltin="1"/>
    <cellStyle name="Текст предупреждения 2" xfId="1666"/>
    <cellStyle name="Текст предупреждения 3" xfId="1667"/>
    <cellStyle name="Финансовый 2" xfId="1668"/>
    <cellStyle name="Финансовый 2 10" xfId="1669"/>
    <cellStyle name="Финансовый 2 11" xfId="1670"/>
    <cellStyle name="Финансовый 2 12" xfId="1671"/>
    <cellStyle name="Финансовый 2 13" xfId="1672"/>
    <cellStyle name="Финансовый 2 14" xfId="1673"/>
    <cellStyle name="Финансовый 2 2" xfId="1674"/>
    <cellStyle name="Финансовый 2 3" xfId="1675"/>
    <cellStyle name="Финансовый 2 4" xfId="1676"/>
    <cellStyle name="Финансовый 2 5" xfId="1677"/>
    <cellStyle name="Финансовый 2 6" xfId="1678"/>
    <cellStyle name="Финансовый 2 7" xfId="1679"/>
    <cellStyle name="Финансовый 2 8" xfId="1680"/>
    <cellStyle name="Финансовый 2 9" xfId="1681"/>
    <cellStyle name="Финансовый 2_Прайс Билдж металлочерепица от 09.08.17" xfId="1682"/>
    <cellStyle name="Финансовый 3" xfId="1683"/>
    <cellStyle name="Финансовый 3 10" xfId="1684"/>
    <cellStyle name="Финансовый 3 11" xfId="1685"/>
    <cellStyle name="Финансовый 3 12" xfId="1686"/>
    <cellStyle name="Финансовый 3 13" xfId="1687"/>
    <cellStyle name="Финансовый 3 2" xfId="1688"/>
    <cellStyle name="Финансовый 3 3" xfId="1689"/>
    <cellStyle name="Финансовый 3 4" xfId="1690"/>
    <cellStyle name="Финансовый 3 5" xfId="1691"/>
    <cellStyle name="Финансовый 3 6" xfId="1692"/>
    <cellStyle name="Финансовый 3 7" xfId="1693"/>
    <cellStyle name="Финансовый 3 8" xfId="1694"/>
    <cellStyle name="Финансовый 3 9" xfId="1695"/>
    <cellStyle name="Финансовый 3_Прайс Билдж металлочерепица от 09.08.17" xfId="1696"/>
    <cellStyle name="Финансовый 4" xfId="1697"/>
    <cellStyle name="Финансовый 4 10" xfId="1698"/>
    <cellStyle name="Финансовый 4 11" xfId="1699"/>
    <cellStyle name="Финансовый 4 12" xfId="1700"/>
    <cellStyle name="Финансовый 4 13" xfId="1701"/>
    <cellStyle name="Финансовый 4 2" xfId="1702"/>
    <cellStyle name="Финансовый 4 2 10" xfId="1703"/>
    <cellStyle name="Финансовый 4 2 11" xfId="1704"/>
    <cellStyle name="Финансовый 4 2 2" xfId="1705"/>
    <cellStyle name="Финансовый 4 2 3" xfId="1706"/>
    <cellStyle name="Финансовый 4 2 4" xfId="1707"/>
    <cellStyle name="Финансовый 4 2 5" xfId="1708"/>
    <cellStyle name="Финансовый 4 2 6" xfId="1709"/>
    <cellStyle name="Финансовый 4 2 7" xfId="1710"/>
    <cellStyle name="Финансовый 4 2 8" xfId="1711"/>
    <cellStyle name="Финансовый 4 2 9" xfId="1712"/>
    <cellStyle name="Финансовый 4 2_Прайс Билдж металлочерепица от 09.08.17" xfId="1713"/>
    <cellStyle name="Финансовый 4 3" xfId="1714"/>
    <cellStyle name="Финансовый 4 4" xfId="1715"/>
    <cellStyle name="Финансовый 4 5" xfId="1716"/>
    <cellStyle name="Финансовый 4 6" xfId="1717"/>
    <cellStyle name="Финансовый 4 7" xfId="1718"/>
    <cellStyle name="Финансовый 4 8" xfId="1719"/>
    <cellStyle name="Финансовый 4 9" xfId="1720"/>
    <cellStyle name="Финансовый 4_Прайс Билдж металлочерепица от 09.08.17" xfId="1721"/>
    <cellStyle name="Хороший" xfId="1722" builtinId="26" customBuiltin="1"/>
    <cellStyle name="Хороший 2" xfId="1723"/>
    <cellStyle name="Хороший 2 2" xfId="1724"/>
    <cellStyle name="Хороший 2 3" xfId="1725"/>
    <cellStyle name="Хороший 2 4" xfId="1726"/>
    <cellStyle name="Хороший 2_Прайс Билдж металлочерепица от 09.08.17" xfId="1727"/>
    <cellStyle name="Хороший 3" xfId="17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emf"/><Relationship Id="rId3" Type="http://schemas.openxmlformats.org/officeDocument/2006/relationships/image" Target="../media/image26.png"/><Relationship Id="rId7" Type="http://schemas.openxmlformats.org/officeDocument/2006/relationships/image" Target="../media/image30.emf"/><Relationship Id="rId2" Type="http://schemas.openxmlformats.org/officeDocument/2006/relationships/image" Target="../media/image25.png"/><Relationship Id="rId1" Type="http://schemas.openxmlformats.org/officeDocument/2006/relationships/image" Target="../media/image1.jpeg"/><Relationship Id="rId6" Type="http://schemas.openxmlformats.org/officeDocument/2006/relationships/image" Target="../media/image29.emf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21.jpeg"/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12" Type="http://schemas.openxmlformats.org/officeDocument/2006/relationships/image" Target="../media/image20.jpeg"/><Relationship Id="rId2" Type="http://schemas.openxmlformats.org/officeDocument/2006/relationships/image" Target="../media/image10.jpeg"/><Relationship Id="rId16" Type="http://schemas.openxmlformats.org/officeDocument/2006/relationships/image" Target="../media/image24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11" Type="http://schemas.openxmlformats.org/officeDocument/2006/relationships/image" Target="../media/image19.jpeg"/><Relationship Id="rId5" Type="http://schemas.openxmlformats.org/officeDocument/2006/relationships/image" Target="../media/image13.jpeg"/><Relationship Id="rId15" Type="http://schemas.openxmlformats.org/officeDocument/2006/relationships/image" Target="../media/image23.jpeg"/><Relationship Id="rId10" Type="http://schemas.openxmlformats.org/officeDocument/2006/relationships/image" Target="../media/image18.jpeg"/><Relationship Id="rId4" Type="http://schemas.openxmlformats.org/officeDocument/2006/relationships/image" Target="../media/image12.jpeg"/><Relationship Id="rId9" Type="http://schemas.openxmlformats.org/officeDocument/2006/relationships/image" Target="../media/image17.jpeg"/><Relationship Id="rId14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57150</xdr:rowOff>
    </xdr:from>
    <xdr:to>
      <xdr:col>1</xdr:col>
      <xdr:colOff>3429000</xdr:colOff>
      <xdr:row>3</xdr:row>
      <xdr:rowOff>190500</xdr:rowOff>
    </xdr:to>
    <xdr:pic>
      <xdr:nvPicPr>
        <xdr:cNvPr id="10039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7150"/>
          <a:ext cx="34004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57150</xdr:rowOff>
    </xdr:from>
    <xdr:to>
      <xdr:col>0</xdr:col>
      <xdr:colOff>3429000</xdr:colOff>
      <xdr:row>3</xdr:row>
      <xdr:rowOff>190500</xdr:rowOff>
    </xdr:to>
    <xdr:pic>
      <xdr:nvPicPr>
        <xdr:cNvPr id="1014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7150"/>
          <a:ext cx="34099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209550</xdr:colOff>
      <xdr:row>5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14</xdr:row>
      <xdr:rowOff>38100</xdr:rowOff>
    </xdr:from>
    <xdr:to>
      <xdr:col>4</xdr:col>
      <xdr:colOff>0</xdr:colOff>
      <xdr:row>15</xdr:row>
      <xdr:rowOff>0</xdr:rowOff>
    </xdr:to>
    <xdr:pic>
      <xdr:nvPicPr>
        <xdr:cNvPr id="10" name="Рисунок 15" descr="Екатерининский камень. Янтарь_2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76525" y="2371725"/>
          <a:ext cx="2476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15</xdr:row>
      <xdr:rowOff>28575</xdr:rowOff>
    </xdr:from>
    <xdr:to>
      <xdr:col>4</xdr:col>
      <xdr:colOff>0</xdr:colOff>
      <xdr:row>16</xdr:row>
      <xdr:rowOff>0</xdr:rowOff>
    </xdr:to>
    <xdr:pic>
      <xdr:nvPicPr>
        <xdr:cNvPr id="11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47950" y="3019425"/>
          <a:ext cx="25241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33</xdr:row>
      <xdr:rowOff>38100</xdr:rowOff>
    </xdr:from>
    <xdr:to>
      <xdr:col>3</xdr:col>
      <xdr:colOff>323850</xdr:colOff>
      <xdr:row>34</xdr:row>
      <xdr:rowOff>276225</xdr:rowOff>
    </xdr:to>
    <xdr:pic>
      <xdr:nvPicPr>
        <xdr:cNvPr id="12" name="Рисунок 8" descr="ФП Grand Line Клинкерный кирпич стандарт Молочная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b="12074"/>
        <a:stretch>
          <a:fillRect/>
        </a:stretch>
      </xdr:blipFill>
      <xdr:spPr bwMode="auto">
        <a:xfrm>
          <a:off x="2962275" y="6848475"/>
          <a:ext cx="19050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561975</xdr:colOff>
      <xdr:row>35</xdr:row>
      <xdr:rowOff>28575</xdr:rowOff>
    </xdr:from>
    <xdr:to>
      <xdr:col>3</xdr:col>
      <xdr:colOff>314325</xdr:colOff>
      <xdr:row>37</xdr:row>
      <xdr:rowOff>0</xdr:rowOff>
    </xdr:to>
    <xdr:pic>
      <xdr:nvPicPr>
        <xdr:cNvPr id="13" name="Рисунок 9" descr="ФП Grand Line Состаренный кирпич стандарт Молочна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b="12343"/>
        <a:stretch>
          <a:fillRect/>
        </a:stretch>
      </xdr:blipFill>
      <xdr:spPr bwMode="auto">
        <a:xfrm>
          <a:off x="2952750" y="7410450"/>
          <a:ext cx="19050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12</xdr:row>
      <xdr:rowOff>28575</xdr:rowOff>
    </xdr:from>
    <xdr:to>
      <xdr:col>3</xdr:col>
      <xdr:colOff>600075</xdr:colOff>
      <xdr:row>13</xdr:row>
      <xdr:rowOff>238125</xdr:rowOff>
    </xdr:to>
    <xdr:pic>
      <xdr:nvPicPr>
        <xdr:cNvPr id="14" name="Рисунок 6" descr="Скала. Жемчуг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686050" y="1714500"/>
          <a:ext cx="24574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10</xdr:row>
      <xdr:rowOff>9525</xdr:rowOff>
    </xdr:from>
    <xdr:to>
      <xdr:col>3</xdr:col>
      <xdr:colOff>552450</xdr:colOff>
      <xdr:row>12</xdr:row>
      <xdr:rowOff>0</xdr:rowOff>
    </xdr:to>
    <xdr:pic>
      <xdr:nvPicPr>
        <xdr:cNvPr id="15" name="Рисунок 8" descr="Крымский сланец. Песок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76525" y="1095375"/>
          <a:ext cx="2419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561975</xdr:colOff>
      <xdr:row>37</xdr:row>
      <xdr:rowOff>38100</xdr:rowOff>
    </xdr:from>
    <xdr:to>
      <xdr:col>3</xdr:col>
      <xdr:colOff>323850</xdr:colOff>
      <xdr:row>39</xdr:row>
      <xdr:rowOff>0</xdr:rowOff>
    </xdr:to>
    <xdr:pic>
      <xdr:nvPicPr>
        <xdr:cNvPr id="16" name="Рисунок 7" descr="ФП Grand Line Крупный камень бежевая2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b="10406"/>
        <a:stretch>
          <a:fillRect/>
        </a:stretch>
      </xdr:blipFill>
      <xdr:spPr bwMode="auto">
        <a:xfrm>
          <a:off x="2952750" y="8001000"/>
          <a:ext cx="19145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495300</xdr:colOff>
      <xdr:row>5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49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</xdr:row>
      <xdr:rowOff>28575</xdr:rowOff>
    </xdr:from>
    <xdr:to>
      <xdr:col>3</xdr:col>
      <xdr:colOff>428625</xdr:colOff>
      <xdr:row>4</xdr:row>
      <xdr:rowOff>190500</xdr:rowOff>
    </xdr:to>
    <xdr:pic>
      <xdr:nvPicPr>
        <xdr:cNvPr id="924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90500"/>
          <a:ext cx="36290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</xdr:row>
      <xdr:rowOff>28575</xdr:rowOff>
    </xdr:from>
    <xdr:to>
      <xdr:col>2</xdr:col>
      <xdr:colOff>428625</xdr:colOff>
      <xdr:row>4</xdr:row>
      <xdr:rowOff>190500</xdr:rowOff>
    </xdr:to>
    <xdr:pic>
      <xdr:nvPicPr>
        <xdr:cNvPr id="10587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90500"/>
          <a:ext cx="36290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180975</xdr:colOff>
      <xdr:row>22</xdr:row>
      <xdr:rowOff>66675</xdr:rowOff>
    </xdr:from>
    <xdr:to>
      <xdr:col>5</xdr:col>
      <xdr:colOff>1514475</xdr:colOff>
      <xdr:row>22</xdr:row>
      <xdr:rowOff>1200150</xdr:rowOff>
    </xdr:to>
    <xdr:pic>
      <xdr:nvPicPr>
        <xdr:cNvPr id="105879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10934700"/>
          <a:ext cx="13335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295275</xdr:colOff>
      <xdr:row>23</xdr:row>
      <xdr:rowOff>28575</xdr:rowOff>
    </xdr:from>
    <xdr:to>
      <xdr:col>5</xdr:col>
      <xdr:colOff>1485900</xdr:colOff>
      <xdr:row>23</xdr:row>
      <xdr:rowOff>1171575</xdr:rowOff>
    </xdr:to>
    <xdr:pic>
      <xdr:nvPicPr>
        <xdr:cNvPr id="105880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50" y="12134850"/>
          <a:ext cx="11906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171450</xdr:colOff>
      <xdr:row>24</xdr:row>
      <xdr:rowOff>66675</xdr:rowOff>
    </xdr:from>
    <xdr:to>
      <xdr:col>5</xdr:col>
      <xdr:colOff>1581150</xdr:colOff>
      <xdr:row>24</xdr:row>
      <xdr:rowOff>1133475</xdr:rowOff>
    </xdr:to>
    <xdr:pic>
      <xdr:nvPicPr>
        <xdr:cNvPr id="105881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13382625"/>
          <a:ext cx="14097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342900</xdr:colOff>
      <xdr:row>25</xdr:row>
      <xdr:rowOff>66675</xdr:rowOff>
    </xdr:from>
    <xdr:to>
      <xdr:col>5</xdr:col>
      <xdr:colOff>1552575</xdr:colOff>
      <xdr:row>25</xdr:row>
      <xdr:rowOff>1000125</xdr:rowOff>
    </xdr:to>
    <xdr:pic>
      <xdr:nvPicPr>
        <xdr:cNvPr id="105882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4687550"/>
          <a:ext cx="12096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352425</xdr:colOff>
      <xdr:row>27</xdr:row>
      <xdr:rowOff>19050</xdr:rowOff>
    </xdr:from>
    <xdr:to>
      <xdr:col>5</xdr:col>
      <xdr:colOff>1238250</xdr:colOff>
      <xdr:row>27</xdr:row>
      <xdr:rowOff>1447800</xdr:rowOff>
    </xdr:to>
    <xdr:pic>
      <xdr:nvPicPr>
        <xdr:cNvPr id="105883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6306800"/>
          <a:ext cx="8858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447675</xdr:colOff>
      <xdr:row>30</xdr:row>
      <xdr:rowOff>142875</xdr:rowOff>
    </xdr:from>
    <xdr:to>
      <xdr:col>5</xdr:col>
      <xdr:colOff>1304925</xdr:colOff>
      <xdr:row>31</xdr:row>
      <xdr:rowOff>447675</xdr:rowOff>
    </xdr:to>
    <xdr:pic>
      <xdr:nvPicPr>
        <xdr:cNvPr id="105884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19364325"/>
          <a:ext cx="8572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38100</xdr:colOff>
      <xdr:row>28</xdr:row>
      <xdr:rowOff>400050</xdr:rowOff>
    </xdr:from>
    <xdr:to>
      <xdr:col>5</xdr:col>
      <xdr:colOff>1562100</xdr:colOff>
      <xdr:row>29</xdr:row>
      <xdr:rowOff>276225</xdr:rowOff>
    </xdr:to>
    <xdr:pic>
      <xdr:nvPicPr>
        <xdr:cNvPr id="105885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18135600"/>
          <a:ext cx="15240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266700</xdr:colOff>
      <xdr:row>32</xdr:row>
      <xdr:rowOff>76200</xdr:rowOff>
    </xdr:from>
    <xdr:to>
      <xdr:col>5</xdr:col>
      <xdr:colOff>1533525</xdr:colOff>
      <xdr:row>33</xdr:row>
      <xdr:rowOff>428625</xdr:rowOff>
    </xdr:to>
    <xdr:pic>
      <xdr:nvPicPr>
        <xdr:cNvPr id="105886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20554950"/>
          <a:ext cx="12668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76"/>
  <sheetViews>
    <sheetView tabSelected="1" topLeftCell="A4" zoomScale="89" zoomScaleNormal="89" workbookViewId="0">
      <selection activeCell="G10" sqref="G10:I10"/>
    </sheetView>
  </sheetViews>
  <sheetFormatPr defaultColWidth="9.28515625" defaultRowHeight="12.75" x14ac:dyDescent="0.2"/>
  <cols>
    <col min="1" max="1" width="2.5703125" style="139" customWidth="1"/>
    <col min="2" max="2" width="54.140625" style="139" customWidth="1"/>
    <col min="3" max="3" width="57.7109375" style="139" customWidth="1"/>
    <col min="4" max="9" width="15.7109375" style="139" customWidth="1"/>
    <col min="10" max="10" width="0" style="139" hidden="1" customWidth="1"/>
    <col min="11" max="16384" width="9.28515625" style="139"/>
  </cols>
  <sheetData>
    <row r="1" spans="2:25" ht="20.100000000000001" customHeight="1" x14ac:dyDescent="0.2">
      <c r="D1" s="140"/>
      <c r="E1" s="141"/>
      <c r="F1" s="141"/>
      <c r="G1" s="141"/>
      <c r="H1" s="141"/>
      <c r="I1" s="141"/>
      <c r="J1" s="142"/>
      <c r="K1" s="142"/>
    </row>
    <row r="2" spans="2:25" ht="20.100000000000001" customHeight="1" x14ac:dyDescent="0.2">
      <c r="D2" s="140"/>
      <c r="E2" s="141"/>
      <c r="F2" s="141"/>
      <c r="G2" s="141"/>
      <c r="H2" s="141"/>
      <c r="I2" s="141"/>
      <c r="J2" s="142"/>
      <c r="K2" s="142"/>
    </row>
    <row r="3" spans="2:25" ht="20.100000000000001" customHeight="1" x14ac:dyDescent="0.35">
      <c r="C3" s="116" t="s">
        <v>145</v>
      </c>
      <c r="D3" s="109"/>
      <c r="E3" s="109"/>
      <c r="F3" s="109"/>
      <c r="G3" s="141"/>
      <c r="H3" s="141"/>
      <c r="I3" s="141"/>
      <c r="J3" s="142"/>
      <c r="K3" s="142"/>
    </row>
    <row r="4" spans="2:25" ht="20.100000000000001" customHeight="1" x14ac:dyDescent="0.2">
      <c r="D4" s="143"/>
      <c r="E4" s="141"/>
      <c r="F4" s="141"/>
      <c r="G4" s="141"/>
      <c r="H4" s="141"/>
      <c r="I4" s="141"/>
      <c r="J4" s="142"/>
      <c r="K4" s="142"/>
    </row>
    <row r="5" spans="2:25" ht="20.100000000000001" customHeight="1" x14ac:dyDescent="0.25">
      <c r="B5" s="140"/>
      <c r="C5" s="114" t="s">
        <v>146</v>
      </c>
      <c r="D5" s="109"/>
      <c r="E5" s="109"/>
      <c r="F5" s="109"/>
      <c r="G5" s="109"/>
      <c r="H5" s="109"/>
      <c r="I5" s="112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0"/>
    </row>
    <row r="6" spans="2:25" ht="20.100000000000001" customHeight="1" x14ac:dyDescent="0.25">
      <c r="B6" s="145"/>
      <c r="C6" s="115" t="s">
        <v>147</v>
      </c>
      <c r="D6" s="109"/>
      <c r="E6" s="109"/>
      <c r="F6" s="109"/>
      <c r="G6" s="109"/>
      <c r="H6" s="109"/>
      <c r="I6" s="112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0"/>
    </row>
    <row r="7" spans="2:25" ht="20.100000000000001" customHeight="1" x14ac:dyDescent="0.25">
      <c r="B7" s="145" t="s">
        <v>94</v>
      </c>
      <c r="C7" s="114" t="s">
        <v>148</v>
      </c>
      <c r="D7" s="109"/>
      <c r="E7" s="109"/>
      <c r="F7" s="109"/>
      <c r="G7" s="109"/>
      <c r="H7" s="109"/>
      <c r="I7" s="112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0"/>
    </row>
    <row r="8" spans="2:25" ht="20.100000000000001" customHeight="1" x14ac:dyDescent="0.2">
      <c r="B8" s="145"/>
      <c r="C8" s="145"/>
      <c r="D8" s="144"/>
      <c r="E8" s="144"/>
      <c r="F8" s="144"/>
      <c r="G8" s="144"/>
      <c r="H8" s="144"/>
      <c r="I8" s="144"/>
    </row>
    <row r="9" spans="2:25" ht="30" customHeight="1" x14ac:dyDescent="0.2">
      <c r="B9" s="280" t="s">
        <v>0</v>
      </c>
      <c r="C9" s="280"/>
      <c r="D9" s="280"/>
      <c r="E9" s="280"/>
      <c r="F9" s="280"/>
      <c r="G9" s="280"/>
      <c r="H9" s="280"/>
      <c r="I9" s="280"/>
    </row>
    <row r="10" spans="2:25" ht="20.100000000000001" customHeight="1" x14ac:dyDescent="0.2">
      <c r="G10" s="281" t="s">
        <v>311</v>
      </c>
      <c r="H10" s="282"/>
      <c r="I10" s="282"/>
    </row>
    <row r="11" spans="2:25" ht="20.100000000000001" customHeight="1" x14ac:dyDescent="0.2">
      <c r="B11" s="284" t="s">
        <v>96</v>
      </c>
      <c r="C11" s="287" t="s">
        <v>132</v>
      </c>
      <c r="D11" s="285" t="s">
        <v>2</v>
      </c>
      <c r="E11" s="285" t="s">
        <v>166</v>
      </c>
      <c r="F11" s="285" t="s">
        <v>97</v>
      </c>
      <c r="G11" s="286" t="s">
        <v>85</v>
      </c>
      <c r="H11" s="286"/>
      <c r="I11" s="286"/>
    </row>
    <row r="12" spans="2:25" ht="20.100000000000001" customHeight="1" x14ac:dyDescent="0.2">
      <c r="B12" s="284"/>
      <c r="C12" s="288"/>
      <c r="D12" s="285"/>
      <c r="E12" s="285"/>
      <c r="F12" s="285"/>
      <c r="G12" s="158" t="s">
        <v>4</v>
      </c>
      <c r="H12" s="158" t="s">
        <v>5</v>
      </c>
      <c r="I12" s="158" t="s">
        <v>6</v>
      </c>
    </row>
    <row r="13" spans="2:25" ht="24.95" customHeight="1" x14ac:dyDescent="0.2">
      <c r="B13" s="283" t="s">
        <v>167</v>
      </c>
      <c r="C13" s="283"/>
      <c r="D13" s="283"/>
      <c r="E13" s="283"/>
      <c r="F13" s="283"/>
      <c r="G13" s="283"/>
      <c r="H13" s="283"/>
      <c r="I13" s="283"/>
    </row>
    <row r="14" spans="2:25" ht="39.950000000000003" customHeight="1" x14ac:dyDescent="0.2">
      <c r="B14" s="165" t="s">
        <v>154</v>
      </c>
      <c r="C14" s="160" t="s">
        <v>151</v>
      </c>
      <c r="D14" s="136" t="s">
        <v>7</v>
      </c>
      <c r="E14" s="136">
        <v>20</v>
      </c>
      <c r="F14" s="136" t="s">
        <v>99</v>
      </c>
      <c r="G14" s="163">
        <v>185</v>
      </c>
      <c r="H14" s="163">
        <f>G14*0.98</f>
        <v>181.29999999999998</v>
      </c>
      <c r="I14" s="163">
        <v>180</v>
      </c>
      <c r="J14" s="162">
        <f>G14*0.95</f>
        <v>175.75</v>
      </c>
      <c r="K14" s="147"/>
    </row>
    <row r="15" spans="2:25" ht="30" customHeight="1" x14ac:dyDescent="0.2">
      <c r="B15" s="289" t="s">
        <v>168</v>
      </c>
      <c r="C15" s="289"/>
      <c r="D15" s="289"/>
      <c r="E15" s="289"/>
      <c r="F15" s="289"/>
      <c r="G15" s="289"/>
      <c r="H15" s="289"/>
      <c r="I15" s="289"/>
      <c r="J15" s="148"/>
      <c r="K15" s="147"/>
    </row>
    <row r="16" spans="2:25" ht="39.950000000000003" customHeight="1" x14ac:dyDescent="0.2">
      <c r="B16" s="164" t="s">
        <v>154</v>
      </c>
      <c r="C16" s="161" t="s">
        <v>152</v>
      </c>
      <c r="D16" s="168" t="s">
        <v>7</v>
      </c>
      <c r="E16" s="136">
        <v>20</v>
      </c>
      <c r="F16" s="136" t="s">
        <v>99</v>
      </c>
      <c r="G16" s="170">
        <v>227</v>
      </c>
      <c r="H16" s="119">
        <f>G16*0.98</f>
        <v>222.46</v>
      </c>
      <c r="I16" s="120">
        <f>G16*0.97</f>
        <v>220.19</v>
      </c>
      <c r="J16" s="146">
        <f>G16*0.945</f>
        <v>214.51499999999999</v>
      </c>
      <c r="K16" s="147"/>
    </row>
    <row r="17" spans="2:11" ht="39.950000000000003" customHeight="1" x14ac:dyDescent="0.2">
      <c r="B17" s="164" t="s">
        <v>156</v>
      </c>
      <c r="C17" s="161" t="s">
        <v>153</v>
      </c>
      <c r="D17" s="128" t="s">
        <v>7</v>
      </c>
      <c r="E17" s="169">
        <v>20</v>
      </c>
      <c r="F17" s="118" t="s">
        <v>99</v>
      </c>
      <c r="G17" s="121">
        <v>273</v>
      </c>
      <c r="H17" s="119">
        <f>G17*0.98</f>
        <v>267.54000000000002</v>
      </c>
      <c r="I17" s="120">
        <f>G17*0.97</f>
        <v>264.81</v>
      </c>
      <c r="J17" s="146">
        <f>G17*0.945</f>
        <v>257.98500000000001</v>
      </c>
      <c r="K17" s="147"/>
    </row>
    <row r="18" spans="2:11" ht="39.950000000000003" customHeight="1" x14ac:dyDescent="0.2">
      <c r="B18" s="164" t="s">
        <v>156</v>
      </c>
      <c r="C18" s="161" t="s">
        <v>155</v>
      </c>
      <c r="D18" s="128" t="s">
        <v>7</v>
      </c>
      <c r="E18" s="128">
        <v>20</v>
      </c>
      <c r="F18" s="122" t="s">
        <v>99</v>
      </c>
      <c r="G18" s="121">
        <v>314</v>
      </c>
      <c r="H18" s="119">
        <f>G18*0.98</f>
        <v>307.71999999999997</v>
      </c>
      <c r="I18" s="120">
        <f>G18*0.97</f>
        <v>304.58</v>
      </c>
      <c r="J18" s="148"/>
      <c r="K18" s="147"/>
    </row>
    <row r="19" spans="2:11" ht="30" customHeight="1" x14ac:dyDescent="0.2">
      <c r="B19" s="290" t="s">
        <v>169</v>
      </c>
      <c r="C19" s="290"/>
      <c r="D19" s="290"/>
      <c r="E19" s="290"/>
      <c r="F19" s="290"/>
      <c r="G19" s="290"/>
      <c r="H19" s="290"/>
      <c r="I19" s="290"/>
      <c r="J19" s="148"/>
      <c r="K19" s="147"/>
    </row>
    <row r="20" spans="2:11" ht="30" customHeight="1" x14ac:dyDescent="0.2">
      <c r="B20" s="164" t="s">
        <v>156</v>
      </c>
      <c r="C20" s="161" t="s">
        <v>158</v>
      </c>
      <c r="D20" s="168" t="s">
        <v>8</v>
      </c>
      <c r="E20" s="136">
        <v>20</v>
      </c>
      <c r="F20" s="136" t="s">
        <v>99</v>
      </c>
      <c r="G20" s="291">
        <v>175</v>
      </c>
      <c r="H20" s="292"/>
      <c r="I20" s="292"/>
      <c r="J20" s="146">
        <v>142</v>
      </c>
      <c r="K20" s="147"/>
    </row>
    <row r="21" spans="2:11" ht="30" customHeight="1" x14ac:dyDescent="0.2">
      <c r="B21" s="164" t="s">
        <v>156</v>
      </c>
      <c r="C21" s="161" t="s">
        <v>159</v>
      </c>
      <c r="D21" s="168" t="s">
        <v>8</v>
      </c>
      <c r="E21" s="136">
        <v>20</v>
      </c>
      <c r="F21" s="136" t="s">
        <v>99</v>
      </c>
      <c r="G21" s="291">
        <v>157</v>
      </c>
      <c r="H21" s="292"/>
      <c r="I21" s="292"/>
      <c r="J21" s="146"/>
      <c r="K21" s="147"/>
    </row>
    <row r="22" spans="2:11" ht="30" customHeight="1" x14ac:dyDescent="0.2">
      <c r="B22" s="164" t="s">
        <v>154</v>
      </c>
      <c r="C22" s="161" t="s">
        <v>157</v>
      </c>
      <c r="D22" s="128" t="s">
        <v>8</v>
      </c>
      <c r="E22" s="169">
        <v>20</v>
      </c>
      <c r="F22" s="118" t="s">
        <v>99</v>
      </c>
      <c r="G22" s="292">
        <v>129</v>
      </c>
      <c r="H22" s="292"/>
      <c r="I22" s="292"/>
      <c r="J22" s="146">
        <v>118</v>
      </c>
      <c r="K22" s="147"/>
    </row>
    <row r="23" spans="2:11" ht="30" customHeight="1" x14ac:dyDescent="0.2">
      <c r="B23" s="293" t="s">
        <v>160</v>
      </c>
      <c r="C23" s="293"/>
      <c r="D23" s="293"/>
      <c r="E23" s="293"/>
      <c r="F23" s="293"/>
      <c r="G23" s="293"/>
      <c r="H23" s="293"/>
      <c r="I23" s="293"/>
      <c r="J23" s="148"/>
      <c r="K23" s="147"/>
    </row>
    <row r="24" spans="2:11" ht="30" customHeight="1" x14ac:dyDescent="0.2">
      <c r="B24" s="166" t="s">
        <v>164</v>
      </c>
      <c r="C24" s="167" t="s">
        <v>161</v>
      </c>
      <c r="D24" s="136" t="s">
        <v>9</v>
      </c>
      <c r="E24" s="136">
        <v>20</v>
      </c>
      <c r="F24" s="136" t="s">
        <v>99</v>
      </c>
      <c r="G24" s="291">
        <v>183</v>
      </c>
      <c r="H24" s="292"/>
      <c r="I24" s="292"/>
      <c r="J24" s="148"/>
      <c r="K24" s="147"/>
    </row>
    <row r="25" spans="2:11" ht="30" customHeight="1" x14ac:dyDescent="0.2">
      <c r="B25" s="166" t="s">
        <v>165</v>
      </c>
      <c r="C25" s="167" t="s">
        <v>162</v>
      </c>
      <c r="D25" s="136" t="s">
        <v>9</v>
      </c>
      <c r="E25" s="136">
        <v>20</v>
      </c>
      <c r="F25" s="136" t="s">
        <v>99</v>
      </c>
      <c r="G25" s="291">
        <v>212</v>
      </c>
      <c r="H25" s="292"/>
      <c r="I25" s="292"/>
      <c r="J25" s="148"/>
      <c r="K25" s="147"/>
    </row>
    <row r="26" spans="2:11" ht="30" customHeight="1" x14ac:dyDescent="0.2">
      <c r="B26" s="166" t="s">
        <v>165</v>
      </c>
      <c r="C26" s="167" t="s">
        <v>163</v>
      </c>
      <c r="D26" s="136" t="s">
        <v>9</v>
      </c>
      <c r="E26" s="136">
        <v>20</v>
      </c>
      <c r="F26" s="136" t="s">
        <v>99</v>
      </c>
      <c r="G26" s="291">
        <v>244</v>
      </c>
      <c r="H26" s="292"/>
      <c r="I26" s="292"/>
      <c r="J26" s="148"/>
      <c r="K26" s="147"/>
    </row>
    <row r="27" spans="2:11" ht="20.100000000000001" customHeight="1" x14ac:dyDescent="0.2">
      <c r="B27" s="294" t="s">
        <v>10</v>
      </c>
      <c r="C27" s="294"/>
      <c r="D27" s="295"/>
      <c r="E27" s="295"/>
      <c r="F27" s="295"/>
      <c r="G27" s="294"/>
      <c r="H27" s="294"/>
      <c r="I27" s="294"/>
      <c r="J27" s="148"/>
      <c r="K27" s="147"/>
    </row>
    <row r="28" spans="2:11" ht="20.100000000000001" customHeight="1" x14ac:dyDescent="0.2">
      <c r="B28" s="171" t="s">
        <v>11</v>
      </c>
      <c r="C28" s="122"/>
      <c r="D28" s="123">
        <v>3</v>
      </c>
      <c r="E28" s="124">
        <v>40</v>
      </c>
      <c r="F28" s="122" t="s">
        <v>99</v>
      </c>
      <c r="G28" s="149">
        <v>150</v>
      </c>
      <c r="H28" s="150">
        <v>146</v>
      </c>
      <c r="I28" s="151">
        <v>142</v>
      </c>
      <c r="J28" s="146">
        <f>G28*0.88</f>
        <v>132</v>
      </c>
      <c r="K28" s="147"/>
    </row>
    <row r="29" spans="2:11" ht="20.100000000000001" customHeight="1" x14ac:dyDescent="0.2">
      <c r="B29" s="171" t="s">
        <v>12</v>
      </c>
      <c r="C29" s="122"/>
      <c r="D29" s="123">
        <v>3</v>
      </c>
      <c r="E29" s="124">
        <v>20</v>
      </c>
      <c r="F29" s="122" t="s">
        <v>99</v>
      </c>
      <c r="G29" s="130">
        <v>370</v>
      </c>
      <c r="H29" s="150">
        <f t="shared" ref="H29:H34" si="0">G29*0.98</f>
        <v>362.59999999999997</v>
      </c>
      <c r="I29" s="151">
        <f t="shared" ref="I29:I34" si="1">G29*0.95</f>
        <v>351.5</v>
      </c>
      <c r="J29" s="146">
        <f>G29*0.87</f>
        <v>321.89999999999998</v>
      </c>
      <c r="K29" s="147"/>
    </row>
    <row r="30" spans="2:11" ht="20.100000000000001" customHeight="1" x14ac:dyDescent="0.2">
      <c r="B30" s="171" t="s">
        <v>13</v>
      </c>
      <c r="C30" s="122"/>
      <c r="D30" s="123">
        <v>3</v>
      </c>
      <c r="E30" s="124">
        <v>10</v>
      </c>
      <c r="F30" s="122" t="s">
        <v>99</v>
      </c>
      <c r="G30" s="130">
        <v>407</v>
      </c>
      <c r="H30" s="150">
        <v>398</v>
      </c>
      <c r="I30" s="151">
        <v>385</v>
      </c>
      <c r="J30" s="146">
        <f>G30*0.89</f>
        <v>362.23</v>
      </c>
      <c r="K30" s="147"/>
    </row>
    <row r="31" spans="2:11" ht="20.100000000000001" customHeight="1" x14ac:dyDescent="0.2">
      <c r="B31" s="171" t="s">
        <v>14</v>
      </c>
      <c r="C31" s="122"/>
      <c r="D31" s="123">
        <v>3</v>
      </c>
      <c r="E31" s="124">
        <v>10</v>
      </c>
      <c r="F31" s="122" t="s">
        <v>99</v>
      </c>
      <c r="G31" s="130">
        <v>463</v>
      </c>
      <c r="H31" s="150">
        <f t="shared" si="0"/>
        <v>453.74</v>
      </c>
      <c r="I31" s="151">
        <f t="shared" si="1"/>
        <v>439.84999999999997</v>
      </c>
      <c r="J31" s="146">
        <f>G31*0.89</f>
        <v>412.07</v>
      </c>
      <c r="K31" s="147"/>
    </row>
    <row r="32" spans="2:11" ht="20.100000000000001" customHeight="1" x14ac:dyDescent="0.2">
      <c r="B32" s="171" t="s">
        <v>15</v>
      </c>
      <c r="C32" s="122"/>
      <c r="D32" s="123">
        <v>3</v>
      </c>
      <c r="E32" s="124">
        <v>14</v>
      </c>
      <c r="F32" s="122" t="s">
        <v>99</v>
      </c>
      <c r="G32" s="130">
        <v>427</v>
      </c>
      <c r="H32" s="150">
        <v>419</v>
      </c>
      <c r="I32" s="151">
        <v>405</v>
      </c>
      <c r="J32" s="146">
        <f>G32*0.89</f>
        <v>380.03000000000003</v>
      </c>
      <c r="K32" s="147"/>
    </row>
    <row r="33" spans="2:11" ht="20.100000000000001" customHeight="1" x14ac:dyDescent="0.2">
      <c r="B33" s="171" t="s">
        <v>16</v>
      </c>
      <c r="C33" s="122"/>
      <c r="D33" s="123">
        <v>3</v>
      </c>
      <c r="E33" s="124">
        <v>10</v>
      </c>
      <c r="F33" s="122" t="s">
        <v>99</v>
      </c>
      <c r="G33" s="130">
        <v>407</v>
      </c>
      <c r="H33" s="150">
        <v>398</v>
      </c>
      <c r="I33" s="151">
        <v>385</v>
      </c>
      <c r="J33" s="146">
        <f>G33*0.89</f>
        <v>362.23</v>
      </c>
      <c r="K33" s="147"/>
    </row>
    <row r="34" spans="2:11" ht="20.100000000000001" customHeight="1" x14ac:dyDescent="0.2">
      <c r="B34" s="171" t="s">
        <v>17</v>
      </c>
      <c r="C34" s="122"/>
      <c r="D34" s="123">
        <v>3</v>
      </c>
      <c r="E34" s="124">
        <v>20</v>
      </c>
      <c r="F34" s="122" t="s">
        <v>99</v>
      </c>
      <c r="G34" s="130">
        <v>370</v>
      </c>
      <c r="H34" s="150">
        <f t="shared" si="0"/>
        <v>362.59999999999997</v>
      </c>
      <c r="I34" s="151">
        <f t="shared" si="1"/>
        <v>351.5</v>
      </c>
      <c r="J34" s="146">
        <f>G34*0.87</f>
        <v>321.89999999999998</v>
      </c>
      <c r="K34" s="147"/>
    </row>
    <row r="35" spans="2:11" ht="20.100000000000001" customHeight="1" x14ac:dyDescent="0.2">
      <c r="B35" s="171" t="s">
        <v>18</v>
      </c>
      <c r="C35" s="122"/>
      <c r="D35" s="123">
        <v>3</v>
      </c>
      <c r="E35" s="124">
        <v>40</v>
      </c>
      <c r="F35" s="122" t="s">
        <v>99</v>
      </c>
      <c r="G35" s="130">
        <v>180</v>
      </c>
      <c r="H35" s="150">
        <v>177</v>
      </c>
      <c r="I35" s="151">
        <v>170</v>
      </c>
      <c r="J35" s="146">
        <f>G35*0.87</f>
        <v>156.6</v>
      </c>
      <c r="K35" s="147"/>
    </row>
    <row r="36" spans="2:11" ht="20.100000000000001" customHeight="1" x14ac:dyDescent="0.2">
      <c r="B36" s="171" t="s">
        <v>19</v>
      </c>
      <c r="C36" s="122"/>
      <c r="D36" s="123">
        <v>3</v>
      </c>
      <c r="E36" s="124">
        <v>40</v>
      </c>
      <c r="F36" s="122" t="s">
        <v>99</v>
      </c>
      <c r="G36" s="129">
        <v>180</v>
      </c>
      <c r="H36" s="150">
        <v>177</v>
      </c>
      <c r="I36" s="151">
        <v>170</v>
      </c>
      <c r="J36" s="146">
        <f>G36*0.87</f>
        <v>156.6</v>
      </c>
      <c r="K36" s="147"/>
    </row>
    <row r="37" spans="2:11" ht="20.100000000000001" customHeight="1" x14ac:dyDescent="0.2">
      <c r="B37" s="294" t="s">
        <v>20</v>
      </c>
      <c r="C37" s="294"/>
      <c r="D37" s="294"/>
      <c r="E37" s="294"/>
      <c r="F37" s="294"/>
      <c r="G37" s="294"/>
      <c r="H37" s="294"/>
      <c r="I37" s="294"/>
      <c r="J37" s="148"/>
      <c r="K37" s="147"/>
    </row>
    <row r="38" spans="2:11" ht="20.100000000000001" customHeight="1" x14ac:dyDescent="0.2">
      <c r="B38" s="171" t="s">
        <v>12</v>
      </c>
      <c r="C38" s="122"/>
      <c r="D38" s="123">
        <v>3</v>
      </c>
      <c r="E38" s="124">
        <v>20</v>
      </c>
      <c r="F38" s="122" t="s">
        <v>99</v>
      </c>
      <c r="G38" s="130">
        <v>345</v>
      </c>
      <c r="H38" s="150">
        <v>337</v>
      </c>
      <c r="I38" s="151">
        <v>327</v>
      </c>
      <c r="J38" s="146">
        <f t="shared" ref="J38:J43" si="2">G38*0.9</f>
        <v>310.5</v>
      </c>
      <c r="K38" s="147"/>
    </row>
    <row r="39" spans="2:11" ht="20.100000000000001" customHeight="1" x14ac:dyDescent="0.2">
      <c r="B39" s="171" t="s">
        <v>13</v>
      </c>
      <c r="C39" s="122"/>
      <c r="D39" s="123">
        <v>3</v>
      </c>
      <c r="E39" s="124">
        <v>10</v>
      </c>
      <c r="F39" s="122" t="s">
        <v>99</v>
      </c>
      <c r="G39" s="130">
        <v>400</v>
      </c>
      <c r="H39" s="150">
        <v>393</v>
      </c>
      <c r="I39" s="151">
        <v>381</v>
      </c>
      <c r="J39" s="146">
        <f t="shared" si="2"/>
        <v>360</v>
      </c>
      <c r="K39" s="147"/>
    </row>
    <row r="40" spans="2:11" ht="20.100000000000001" customHeight="1" x14ac:dyDescent="0.2">
      <c r="B40" s="171" t="s">
        <v>16</v>
      </c>
      <c r="C40" s="122"/>
      <c r="D40" s="123">
        <v>3</v>
      </c>
      <c r="E40" s="124">
        <v>10</v>
      </c>
      <c r="F40" s="122" t="s">
        <v>99</v>
      </c>
      <c r="G40" s="130">
        <v>400</v>
      </c>
      <c r="H40" s="150">
        <v>393</v>
      </c>
      <c r="I40" s="151">
        <v>381</v>
      </c>
      <c r="J40" s="146">
        <f t="shared" si="2"/>
        <v>360</v>
      </c>
      <c r="K40" s="147"/>
    </row>
    <row r="41" spans="2:11" ht="20.100000000000001" customHeight="1" x14ac:dyDescent="0.2">
      <c r="B41" s="171" t="s">
        <v>17</v>
      </c>
      <c r="C41" s="122"/>
      <c r="D41" s="123">
        <v>3</v>
      </c>
      <c r="E41" s="124">
        <v>20</v>
      </c>
      <c r="F41" s="122" t="s">
        <v>99</v>
      </c>
      <c r="G41" s="130">
        <v>345</v>
      </c>
      <c r="H41" s="150">
        <v>337</v>
      </c>
      <c r="I41" s="151">
        <v>327</v>
      </c>
      <c r="J41" s="146">
        <f t="shared" si="2"/>
        <v>310.5</v>
      </c>
      <c r="K41" s="147"/>
    </row>
    <row r="42" spans="2:11" ht="20.100000000000001" customHeight="1" x14ac:dyDescent="0.2">
      <c r="B42" s="171" t="s">
        <v>18</v>
      </c>
      <c r="C42" s="122"/>
      <c r="D42" s="123">
        <v>3</v>
      </c>
      <c r="E42" s="124">
        <v>40</v>
      </c>
      <c r="F42" s="122" t="s">
        <v>99</v>
      </c>
      <c r="G42" s="130">
        <v>144</v>
      </c>
      <c r="H42" s="150">
        <f t="shared" ref="H42:H43" si="3">G42*0.98</f>
        <v>141.12</v>
      </c>
      <c r="I42" s="151">
        <f t="shared" ref="I42:I43" si="4">G42*0.95</f>
        <v>136.79999999999998</v>
      </c>
      <c r="J42" s="146">
        <f t="shared" si="2"/>
        <v>129.6</v>
      </c>
      <c r="K42" s="147"/>
    </row>
    <row r="43" spans="2:11" ht="20.100000000000001" customHeight="1" x14ac:dyDescent="0.2">
      <c r="B43" s="171" t="s">
        <v>19</v>
      </c>
      <c r="C43" s="122"/>
      <c r="D43" s="123">
        <v>3</v>
      </c>
      <c r="E43" s="124">
        <v>40</v>
      </c>
      <c r="F43" s="122" t="s">
        <v>99</v>
      </c>
      <c r="G43" s="130">
        <v>144</v>
      </c>
      <c r="H43" s="150">
        <f t="shared" si="3"/>
        <v>141.12</v>
      </c>
      <c r="I43" s="151">
        <f t="shared" si="4"/>
        <v>136.79999999999998</v>
      </c>
      <c r="J43" s="146">
        <f t="shared" si="2"/>
        <v>129.6</v>
      </c>
      <c r="K43" s="147"/>
    </row>
    <row r="44" spans="2:11" ht="20.100000000000001" customHeight="1" x14ac:dyDescent="0.2">
      <c r="B44" s="296" t="s">
        <v>21</v>
      </c>
      <c r="C44" s="296"/>
      <c r="D44" s="296"/>
      <c r="E44" s="296"/>
      <c r="F44" s="296"/>
      <c r="G44" s="296"/>
      <c r="H44" s="296"/>
      <c r="I44" s="296"/>
      <c r="J44" s="148"/>
      <c r="K44" s="147"/>
    </row>
    <row r="45" spans="2:11" ht="20.100000000000001" customHeight="1" x14ac:dyDescent="0.2">
      <c r="B45" s="152" t="s">
        <v>22</v>
      </c>
      <c r="C45" s="159"/>
      <c r="D45" s="180">
        <v>1.17</v>
      </c>
      <c r="E45" s="185">
        <v>50</v>
      </c>
      <c r="F45" s="172" t="s">
        <v>99</v>
      </c>
      <c r="G45" s="297">
        <v>44</v>
      </c>
      <c r="H45" s="298"/>
      <c r="I45" s="298"/>
      <c r="J45" s="148"/>
      <c r="K45" s="147"/>
    </row>
    <row r="46" spans="2:11" ht="20.100000000000001" customHeight="1" x14ac:dyDescent="0.2">
      <c r="B46" s="152" t="s">
        <v>23</v>
      </c>
      <c r="C46" s="159"/>
      <c r="D46" s="181">
        <v>1.23</v>
      </c>
      <c r="E46" s="188">
        <v>50</v>
      </c>
      <c r="F46" s="184" t="s">
        <v>99</v>
      </c>
      <c r="G46" s="298">
        <v>47</v>
      </c>
      <c r="H46" s="298"/>
      <c r="I46" s="298"/>
      <c r="J46" s="148"/>
      <c r="K46" s="147"/>
    </row>
    <row r="47" spans="2:11" ht="20.100000000000001" customHeight="1" x14ac:dyDescent="0.2">
      <c r="B47" s="152" t="s">
        <v>24</v>
      </c>
      <c r="C47" s="159"/>
      <c r="D47" s="181">
        <v>1.33</v>
      </c>
      <c r="E47" s="190">
        <v>50</v>
      </c>
      <c r="F47" s="176" t="s">
        <v>99</v>
      </c>
      <c r="G47" s="298">
        <v>50</v>
      </c>
      <c r="H47" s="298"/>
      <c r="I47" s="298"/>
      <c r="J47" s="148"/>
      <c r="K47" s="147"/>
    </row>
    <row r="48" spans="2:11" ht="20.100000000000001" customHeight="1" x14ac:dyDescent="0.2">
      <c r="B48" s="152" t="s">
        <v>25</v>
      </c>
      <c r="C48" s="159"/>
      <c r="D48" s="181">
        <v>1.17</v>
      </c>
      <c r="E48" s="189">
        <v>70</v>
      </c>
      <c r="F48" s="176" t="s">
        <v>99</v>
      </c>
      <c r="G48" s="298">
        <v>41</v>
      </c>
      <c r="H48" s="298"/>
      <c r="I48" s="298"/>
      <c r="J48" s="148"/>
      <c r="K48" s="147"/>
    </row>
    <row r="49" spans="2:11" ht="20.100000000000001" customHeight="1" x14ac:dyDescent="0.2">
      <c r="B49" s="152" t="s">
        <v>26</v>
      </c>
      <c r="C49" s="159"/>
      <c r="D49" s="181">
        <v>1.3049999999999999</v>
      </c>
      <c r="E49" s="186">
        <v>50</v>
      </c>
      <c r="F49" s="176" t="s">
        <v>99</v>
      </c>
      <c r="G49" s="298">
        <v>58</v>
      </c>
      <c r="H49" s="298"/>
      <c r="I49" s="298"/>
      <c r="J49" s="148"/>
      <c r="K49" s="147"/>
    </row>
    <row r="50" spans="2:11" ht="20.100000000000001" customHeight="1" x14ac:dyDescent="0.2">
      <c r="B50" s="152" t="s">
        <v>27</v>
      </c>
      <c r="C50" s="159"/>
      <c r="D50" s="181">
        <v>1.38</v>
      </c>
      <c r="E50" s="186">
        <v>50</v>
      </c>
      <c r="F50" s="176" t="s">
        <v>99</v>
      </c>
      <c r="G50" s="298">
        <v>58</v>
      </c>
      <c r="H50" s="298"/>
      <c r="I50" s="298"/>
      <c r="J50" s="148"/>
      <c r="K50" s="147"/>
    </row>
    <row r="51" spans="2:11" ht="20.100000000000001" customHeight="1" x14ac:dyDescent="0.2">
      <c r="B51" s="152" t="s">
        <v>28</v>
      </c>
      <c r="C51" s="159"/>
      <c r="D51" s="181">
        <v>3.4000000000000002E-2</v>
      </c>
      <c r="E51" s="186">
        <v>300</v>
      </c>
      <c r="F51" s="176" t="s">
        <v>99</v>
      </c>
      <c r="G51" s="298">
        <v>7</v>
      </c>
      <c r="H51" s="298"/>
      <c r="I51" s="298"/>
      <c r="J51" s="148"/>
      <c r="K51" s="147"/>
    </row>
    <row r="52" spans="2:11" ht="20.100000000000001" customHeight="1" x14ac:dyDescent="0.2">
      <c r="B52" s="152" t="s">
        <v>29</v>
      </c>
      <c r="C52" s="159"/>
      <c r="D52" s="181">
        <v>3.4000000000000002E-2</v>
      </c>
      <c r="E52" s="186">
        <v>300</v>
      </c>
      <c r="F52" s="176" t="s">
        <v>99</v>
      </c>
      <c r="G52" s="298">
        <v>6</v>
      </c>
      <c r="H52" s="298"/>
      <c r="I52" s="298"/>
      <c r="J52" s="148"/>
      <c r="K52" s="147"/>
    </row>
    <row r="53" spans="2:11" ht="20.100000000000001" customHeight="1" x14ac:dyDescent="0.2">
      <c r="B53" s="152" t="s">
        <v>30</v>
      </c>
      <c r="C53" s="159"/>
      <c r="D53" s="181">
        <v>8.1000000000000003E-2</v>
      </c>
      <c r="E53" s="187">
        <v>300</v>
      </c>
      <c r="F53" s="176" t="s">
        <v>99</v>
      </c>
      <c r="G53" s="298">
        <v>5</v>
      </c>
      <c r="H53" s="298"/>
      <c r="I53" s="298"/>
      <c r="J53" s="148"/>
      <c r="K53" s="147"/>
    </row>
    <row r="54" spans="2:11" ht="20.100000000000001" customHeight="1" x14ac:dyDescent="0.2">
      <c r="B54" s="152" t="s">
        <v>31</v>
      </c>
      <c r="C54" s="159"/>
      <c r="D54" s="182"/>
      <c r="E54" s="177"/>
      <c r="F54" s="175" t="s">
        <v>99</v>
      </c>
      <c r="G54" s="298">
        <v>9</v>
      </c>
      <c r="H54" s="298"/>
      <c r="I54" s="298"/>
      <c r="J54" s="148"/>
      <c r="K54" s="147"/>
    </row>
    <row r="55" spans="2:11" ht="20.100000000000001" customHeight="1" x14ac:dyDescent="0.2">
      <c r="B55" s="152" t="s">
        <v>32</v>
      </c>
      <c r="C55" s="159"/>
      <c r="D55" s="182"/>
      <c r="E55" s="178"/>
      <c r="F55" s="175" t="s">
        <v>99</v>
      </c>
      <c r="G55" s="298">
        <v>11</v>
      </c>
      <c r="H55" s="298"/>
      <c r="I55" s="298"/>
      <c r="J55" s="148"/>
      <c r="K55" s="147"/>
    </row>
    <row r="56" spans="2:11" ht="20.100000000000001" customHeight="1" x14ac:dyDescent="0.2">
      <c r="B56" s="152" t="s">
        <v>33</v>
      </c>
      <c r="C56" s="159"/>
      <c r="D56" s="182"/>
      <c r="E56" s="178"/>
      <c r="F56" s="175" t="s">
        <v>34</v>
      </c>
      <c r="G56" s="298">
        <v>464</v>
      </c>
      <c r="H56" s="298"/>
      <c r="I56" s="298"/>
      <c r="J56" s="148"/>
      <c r="K56" s="147"/>
    </row>
    <row r="57" spans="2:11" ht="20.100000000000001" customHeight="1" x14ac:dyDescent="0.2">
      <c r="B57" s="152" t="s">
        <v>35</v>
      </c>
      <c r="C57" s="159"/>
      <c r="D57" s="182"/>
      <c r="E57" s="178"/>
      <c r="F57" s="175" t="s">
        <v>34</v>
      </c>
      <c r="G57" s="298">
        <v>479</v>
      </c>
      <c r="H57" s="298"/>
      <c r="I57" s="298"/>
      <c r="J57" s="148"/>
      <c r="K57" s="147"/>
    </row>
    <row r="58" spans="2:11" ht="20.100000000000001" customHeight="1" x14ac:dyDescent="0.2">
      <c r="B58" s="152" t="s">
        <v>36</v>
      </c>
      <c r="C58" s="159"/>
      <c r="D58" s="183">
        <v>1.17</v>
      </c>
      <c r="E58" s="179"/>
      <c r="F58" s="176" t="s">
        <v>99</v>
      </c>
      <c r="G58" s="298">
        <v>28</v>
      </c>
      <c r="H58" s="298"/>
      <c r="I58" s="298"/>
      <c r="J58" s="148"/>
      <c r="K58" s="147"/>
    </row>
    <row r="59" spans="2:11" ht="20.100000000000001" customHeight="1" x14ac:dyDescent="0.2">
      <c r="B59" s="295" t="s">
        <v>37</v>
      </c>
      <c r="C59" s="295"/>
      <c r="D59" s="295"/>
      <c r="E59" s="295"/>
      <c r="F59" s="295"/>
      <c r="G59" s="295"/>
      <c r="H59" s="295"/>
      <c r="I59" s="295"/>
      <c r="J59" s="148"/>
      <c r="K59" s="147"/>
    </row>
    <row r="60" spans="2:11" ht="20.100000000000001" customHeight="1" x14ac:dyDescent="0.2">
      <c r="B60" s="153" t="s">
        <v>149</v>
      </c>
      <c r="C60" s="153"/>
      <c r="D60" s="123" t="s">
        <v>38</v>
      </c>
      <c r="E60" s="124">
        <v>20</v>
      </c>
      <c r="F60" s="122" t="s">
        <v>99</v>
      </c>
      <c r="G60" s="125">
        <v>230</v>
      </c>
      <c r="H60" s="126">
        <v>223</v>
      </c>
      <c r="I60" s="127">
        <v>220</v>
      </c>
      <c r="J60" s="146">
        <f>G60*0.915</f>
        <v>210.45000000000002</v>
      </c>
      <c r="K60" s="147"/>
    </row>
    <row r="61" spans="2:11" ht="26.25" customHeight="1" x14ac:dyDescent="0.2">
      <c r="B61" s="153" t="s">
        <v>150</v>
      </c>
      <c r="C61" s="153"/>
      <c r="D61" s="123" t="s">
        <v>38</v>
      </c>
      <c r="E61" s="117">
        <v>20</v>
      </c>
      <c r="F61" s="128" t="s">
        <v>99</v>
      </c>
      <c r="G61" s="129">
        <v>285</v>
      </c>
      <c r="H61" s="126">
        <v>275</v>
      </c>
      <c r="I61" s="127">
        <v>270</v>
      </c>
      <c r="J61" s="146">
        <f>G61*0.915</f>
        <v>260.77500000000003</v>
      </c>
      <c r="K61" s="147"/>
    </row>
    <row r="62" spans="2:11" ht="26.25" customHeight="1" x14ac:dyDescent="0.2">
      <c r="B62" s="153" t="s">
        <v>170</v>
      </c>
      <c r="C62" s="153"/>
      <c r="D62" s="123" t="s">
        <v>38</v>
      </c>
      <c r="E62" s="117">
        <v>20</v>
      </c>
      <c r="F62" s="128" t="s">
        <v>99</v>
      </c>
      <c r="G62" s="129">
        <v>386</v>
      </c>
      <c r="H62" s="126">
        <v>375</v>
      </c>
      <c r="I62" s="127">
        <v>367</v>
      </c>
      <c r="J62" s="146"/>
      <c r="K62" s="147"/>
    </row>
    <row r="63" spans="2:11" ht="20.100000000000001" customHeight="1" x14ac:dyDescent="0.2">
      <c r="B63" s="124" t="s">
        <v>39</v>
      </c>
      <c r="C63" s="124"/>
      <c r="D63" s="123">
        <v>3</v>
      </c>
      <c r="E63" s="124">
        <v>14</v>
      </c>
      <c r="F63" s="128" t="s">
        <v>99</v>
      </c>
      <c r="G63" s="130">
        <v>473</v>
      </c>
      <c r="H63" s="126">
        <v>465</v>
      </c>
      <c r="I63" s="127">
        <v>455</v>
      </c>
      <c r="J63" s="146">
        <f t="shared" ref="J63:J69" si="5">G63*0.9</f>
        <v>425.7</v>
      </c>
      <c r="K63" s="147"/>
    </row>
    <row r="64" spans="2:11" ht="20.100000000000001" customHeight="1" x14ac:dyDescent="0.2">
      <c r="B64" s="124" t="s">
        <v>40</v>
      </c>
      <c r="C64" s="124"/>
      <c r="D64" s="123">
        <v>3</v>
      </c>
      <c r="E64" s="124">
        <v>14</v>
      </c>
      <c r="F64" s="128" t="s">
        <v>99</v>
      </c>
      <c r="G64" s="130">
        <v>582</v>
      </c>
      <c r="H64" s="126">
        <v>571</v>
      </c>
      <c r="I64" s="127">
        <v>558</v>
      </c>
      <c r="J64" s="146">
        <f t="shared" si="5"/>
        <v>523.80000000000007</v>
      </c>
      <c r="K64" s="147"/>
    </row>
    <row r="65" spans="2:11" ht="20.100000000000001" customHeight="1" x14ac:dyDescent="0.2">
      <c r="B65" s="124" t="s">
        <v>41</v>
      </c>
      <c r="C65" s="124"/>
      <c r="D65" s="123">
        <v>3</v>
      </c>
      <c r="E65" s="124">
        <v>40</v>
      </c>
      <c r="F65" s="128" t="s">
        <v>99</v>
      </c>
      <c r="G65" s="130">
        <v>211</v>
      </c>
      <c r="H65" s="126">
        <f t="shared" ref="H65:H69" si="6">G65*0.98</f>
        <v>206.78</v>
      </c>
      <c r="I65" s="127">
        <f t="shared" ref="I65:I69" si="7">G65*0.96</f>
        <v>202.56</v>
      </c>
      <c r="J65" s="146">
        <f t="shared" si="5"/>
        <v>189.9</v>
      </c>
      <c r="K65" s="147"/>
    </row>
    <row r="66" spans="2:11" ht="20.100000000000001" customHeight="1" x14ac:dyDescent="0.2">
      <c r="B66" s="124" t="s">
        <v>42</v>
      </c>
      <c r="C66" s="124"/>
      <c r="D66" s="123">
        <v>3</v>
      </c>
      <c r="E66" s="124">
        <v>10</v>
      </c>
      <c r="F66" s="128" t="s">
        <v>99</v>
      </c>
      <c r="G66" s="130">
        <v>515</v>
      </c>
      <c r="H66" s="126">
        <f t="shared" si="6"/>
        <v>504.7</v>
      </c>
      <c r="I66" s="127">
        <v>495</v>
      </c>
      <c r="J66" s="146">
        <f t="shared" si="5"/>
        <v>463.5</v>
      </c>
      <c r="K66" s="147"/>
    </row>
    <row r="67" spans="2:11" ht="20.100000000000001" customHeight="1" x14ac:dyDescent="0.2">
      <c r="B67" s="124" t="s">
        <v>43</v>
      </c>
      <c r="C67" s="124"/>
      <c r="D67" s="123">
        <v>3</v>
      </c>
      <c r="E67" s="124">
        <v>20</v>
      </c>
      <c r="F67" s="128" t="s">
        <v>99</v>
      </c>
      <c r="G67" s="130">
        <v>432</v>
      </c>
      <c r="H67" s="126">
        <v>424</v>
      </c>
      <c r="I67" s="127">
        <f t="shared" si="7"/>
        <v>414.71999999999997</v>
      </c>
      <c r="J67" s="146">
        <f t="shared" si="5"/>
        <v>388.8</v>
      </c>
      <c r="K67" s="147"/>
    </row>
    <row r="68" spans="2:11" ht="20.100000000000001" customHeight="1" x14ac:dyDescent="0.2">
      <c r="B68" s="117" t="s">
        <v>44</v>
      </c>
      <c r="C68" s="117"/>
      <c r="D68" s="131">
        <v>3</v>
      </c>
      <c r="E68" s="117">
        <v>20</v>
      </c>
      <c r="F68" s="128" t="s">
        <v>99</v>
      </c>
      <c r="G68" s="129">
        <v>432</v>
      </c>
      <c r="H68" s="132">
        <v>424</v>
      </c>
      <c r="I68" s="133">
        <f t="shared" si="7"/>
        <v>414.71999999999997</v>
      </c>
      <c r="J68" s="146">
        <f t="shared" si="5"/>
        <v>388.8</v>
      </c>
      <c r="K68" s="147"/>
    </row>
    <row r="69" spans="2:11" ht="20.100000000000001" customHeight="1" x14ac:dyDescent="0.2">
      <c r="B69" s="135" t="s">
        <v>111</v>
      </c>
      <c r="C69" s="135"/>
      <c r="D69" s="134">
        <v>3</v>
      </c>
      <c r="E69" s="135">
        <v>40</v>
      </c>
      <c r="F69" s="136" t="s">
        <v>99</v>
      </c>
      <c r="G69" s="137">
        <v>211</v>
      </c>
      <c r="H69" s="138">
        <f t="shared" si="6"/>
        <v>206.78</v>
      </c>
      <c r="I69" s="138">
        <f t="shared" si="7"/>
        <v>202.56</v>
      </c>
      <c r="J69" s="154">
        <f t="shared" si="5"/>
        <v>189.9</v>
      </c>
      <c r="K69" s="155"/>
    </row>
    <row r="70" spans="2:11" ht="20.100000000000001" customHeight="1" x14ac:dyDescent="0.2">
      <c r="B70" s="156"/>
      <c r="C70" s="156"/>
      <c r="D70" s="156"/>
      <c r="E70" s="156"/>
      <c r="F70" s="156"/>
      <c r="G70" s="156"/>
      <c r="H70" s="156"/>
      <c r="I70" s="156"/>
    </row>
    <row r="71" spans="2:11" ht="20.100000000000001" customHeight="1" x14ac:dyDescent="0.2">
      <c r="B71" s="157" t="s">
        <v>100</v>
      </c>
      <c r="C71" s="157"/>
    </row>
    <row r="72" spans="2:11" ht="20.100000000000001" customHeight="1" x14ac:dyDescent="0.2"/>
    <row r="73" spans="2:11" ht="20.100000000000001" customHeight="1" x14ac:dyDescent="0.2">
      <c r="B73" s="300" t="s">
        <v>101</v>
      </c>
      <c r="C73" s="300"/>
      <c r="D73" s="300"/>
      <c r="E73" s="300"/>
      <c r="F73" s="300"/>
      <c r="G73" s="300"/>
      <c r="H73" s="300"/>
      <c r="I73" s="300"/>
    </row>
    <row r="74" spans="2:11" ht="20.100000000000001" customHeight="1" x14ac:dyDescent="0.2">
      <c r="B74" s="299" t="s">
        <v>45</v>
      </c>
      <c r="C74" s="299"/>
      <c r="D74" s="299"/>
      <c r="E74" s="299"/>
      <c r="F74" s="299"/>
      <c r="G74" s="299"/>
      <c r="H74" s="299"/>
      <c r="I74" s="299"/>
    </row>
    <row r="75" spans="2:11" ht="20.100000000000001" customHeight="1" x14ac:dyDescent="0.2">
      <c r="B75" s="299" t="s">
        <v>102</v>
      </c>
      <c r="C75" s="299"/>
      <c r="D75" s="299"/>
      <c r="E75" s="299"/>
      <c r="F75" s="299"/>
      <c r="G75" s="299"/>
      <c r="H75" s="299"/>
      <c r="I75" s="299"/>
    </row>
    <row r="76" spans="2:11" ht="20.100000000000001" customHeight="1" x14ac:dyDescent="0.2">
      <c r="B76" s="299" t="s">
        <v>103</v>
      </c>
      <c r="C76" s="299"/>
      <c r="D76" s="299"/>
      <c r="E76" s="299"/>
      <c r="F76" s="299"/>
      <c r="G76" s="299"/>
      <c r="H76" s="299"/>
      <c r="I76" s="299"/>
    </row>
  </sheetData>
  <sheetProtection password="CC3B" sheet="1" objects="1" scenarios="1" selectLockedCells="1" selectUnlockedCells="1"/>
  <mergeCells count="40">
    <mergeCell ref="B75:I75"/>
    <mergeCell ref="B76:I76"/>
    <mergeCell ref="G57:I57"/>
    <mergeCell ref="G58:I58"/>
    <mergeCell ref="B59:I59"/>
    <mergeCell ref="B73:I73"/>
    <mergeCell ref="G53:I53"/>
    <mergeCell ref="G54:I54"/>
    <mergeCell ref="G55:I55"/>
    <mergeCell ref="G56:I56"/>
    <mergeCell ref="B74:I74"/>
    <mergeCell ref="G48:I48"/>
    <mergeCell ref="G49:I49"/>
    <mergeCell ref="G50:I50"/>
    <mergeCell ref="G51:I51"/>
    <mergeCell ref="G52:I52"/>
    <mergeCell ref="B37:I37"/>
    <mergeCell ref="B44:I44"/>
    <mergeCell ref="G45:I45"/>
    <mergeCell ref="G46:I46"/>
    <mergeCell ref="G47:I47"/>
    <mergeCell ref="B23:I23"/>
    <mergeCell ref="G24:I24"/>
    <mergeCell ref="G25:I25"/>
    <mergeCell ref="G26:I26"/>
    <mergeCell ref="B27:I27"/>
    <mergeCell ref="B15:I15"/>
    <mergeCell ref="B19:I19"/>
    <mergeCell ref="G20:I20"/>
    <mergeCell ref="G21:I21"/>
    <mergeCell ref="G22:I22"/>
    <mergeCell ref="B9:I9"/>
    <mergeCell ref="G10:I10"/>
    <mergeCell ref="B13:I13"/>
    <mergeCell ref="B11:B12"/>
    <mergeCell ref="D11:D12"/>
    <mergeCell ref="E11:E12"/>
    <mergeCell ref="F11:F12"/>
    <mergeCell ref="G11:I11"/>
    <mergeCell ref="C11:C12"/>
  </mergeCells>
  <phoneticPr fontId="24" type="noConversion"/>
  <printOptions horizontalCentered="1"/>
  <pageMargins left="0.19652777777777777" right="0" top="0.19652777777777777" bottom="0" header="0.51180555555555551" footer="0.51180555555555551"/>
  <pageSetup paperSize="9" scale="30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6"/>
  <sheetViews>
    <sheetView workbookViewId="0">
      <selection activeCell="E60" sqref="E60"/>
    </sheetView>
  </sheetViews>
  <sheetFormatPr defaultColWidth="9.28515625" defaultRowHeight="12.75" x14ac:dyDescent="0.2"/>
  <cols>
    <col min="1" max="1" width="53" customWidth="1"/>
    <col min="2" max="2" width="9.85546875" customWidth="1"/>
    <col min="3" max="4" width="9.28515625" customWidth="1"/>
    <col min="5" max="5" width="11.42578125" customWidth="1"/>
    <col min="6" max="6" width="12" customWidth="1"/>
    <col min="7" max="7" width="12.28515625" customWidth="1"/>
    <col min="8" max="8" width="0" hidden="1" customWidth="1"/>
  </cols>
  <sheetData>
    <row r="1" spans="1:9" ht="20.25" customHeight="1" x14ac:dyDescent="0.2">
      <c r="B1" s="2" t="s">
        <v>86</v>
      </c>
      <c r="C1" s="7"/>
      <c r="D1" s="7"/>
      <c r="E1" s="7"/>
      <c r="F1" s="7"/>
      <c r="G1" s="7"/>
      <c r="H1" s="7"/>
      <c r="I1" s="7"/>
    </row>
    <row r="2" spans="1:9" ht="17.25" customHeight="1" x14ac:dyDescent="0.2">
      <c r="B2" s="3" t="s">
        <v>87</v>
      </c>
      <c r="C2" s="1"/>
      <c r="D2" s="1"/>
      <c r="E2" s="1"/>
      <c r="F2" s="1"/>
      <c r="G2" s="1"/>
      <c r="H2" s="7"/>
      <c r="I2" s="7"/>
    </row>
    <row r="3" spans="1:9" ht="17.25" customHeight="1" x14ac:dyDescent="0.2">
      <c r="B3" s="3" t="s">
        <v>88</v>
      </c>
      <c r="C3" s="1"/>
      <c r="D3" s="1"/>
      <c r="E3" s="1"/>
      <c r="F3" s="1"/>
      <c r="G3" s="1"/>
      <c r="H3" s="7"/>
      <c r="I3" s="7"/>
    </row>
    <row r="4" spans="1:9" ht="18" customHeight="1" x14ac:dyDescent="0.2">
      <c r="B4" s="5" t="s">
        <v>89</v>
      </c>
      <c r="C4" s="1"/>
      <c r="D4" s="1"/>
      <c r="E4" s="1"/>
      <c r="F4" s="1"/>
      <c r="G4" s="1"/>
      <c r="H4" s="7"/>
      <c r="I4" s="7"/>
    </row>
    <row r="5" spans="1:9" ht="18" customHeight="1" x14ac:dyDescent="0.2">
      <c r="A5" s="8" t="s">
        <v>90</v>
      </c>
      <c r="B5" s="3" t="s">
        <v>91</v>
      </c>
      <c r="C5" s="4"/>
      <c r="D5" s="4"/>
      <c r="E5" s="4"/>
      <c r="F5" s="4"/>
      <c r="G5" s="4"/>
      <c r="H5" s="7"/>
      <c r="I5" s="7"/>
    </row>
    <row r="6" spans="1:9" ht="18.75" customHeight="1" x14ac:dyDescent="0.2">
      <c r="A6" s="8" t="s">
        <v>94</v>
      </c>
      <c r="B6" s="5" t="s">
        <v>93</v>
      </c>
      <c r="C6" s="4"/>
      <c r="D6" s="4"/>
      <c r="E6" s="4"/>
      <c r="F6" s="4"/>
      <c r="G6" s="4"/>
      <c r="H6" s="7"/>
      <c r="I6" s="7"/>
    </row>
    <row r="7" spans="1:9" ht="18.75" customHeight="1" x14ac:dyDescent="0.2">
      <c r="A7" s="8" t="s">
        <v>92</v>
      </c>
      <c r="B7" s="5" t="s">
        <v>95</v>
      </c>
      <c r="C7" s="4"/>
      <c r="D7" s="4"/>
      <c r="E7" s="4"/>
      <c r="F7" s="4"/>
      <c r="G7" s="4"/>
      <c r="H7" s="7"/>
      <c r="I7" s="7"/>
    </row>
    <row r="8" spans="1:9" ht="18.75" customHeight="1" x14ac:dyDescent="0.2">
      <c r="A8" s="8"/>
      <c r="B8" s="4"/>
      <c r="C8" s="4"/>
      <c r="D8" s="4"/>
      <c r="E8" s="4"/>
      <c r="F8" s="4"/>
      <c r="G8" s="4"/>
      <c r="H8" s="7"/>
      <c r="I8" s="7"/>
    </row>
    <row r="9" spans="1:9" ht="71.25" customHeight="1" x14ac:dyDescent="0.2">
      <c r="A9" s="301" t="s">
        <v>46</v>
      </c>
      <c r="B9" s="301"/>
      <c r="C9" s="301"/>
      <c r="D9" s="301"/>
      <c r="E9" s="301"/>
      <c r="F9" s="301"/>
      <c r="G9" s="301"/>
    </row>
    <row r="10" spans="1:9" ht="10.5" customHeight="1" x14ac:dyDescent="0.2">
      <c r="E10" s="302" t="s">
        <v>47</v>
      </c>
      <c r="F10" s="302"/>
      <c r="G10" s="302"/>
    </row>
    <row r="11" spans="1:9" ht="9" customHeight="1" x14ac:dyDescent="0.2">
      <c r="E11" s="302" t="s">
        <v>310</v>
      </c>
      <c r="F11" s="302"/>
      <c r="G11" s="302"/>
    </row>
    <row r="12" spans="1:9" ht="34.5" customHeight="1" x14ac:dyDescent="0.2">
      <c r="A12" s="15" t="s">
        <v>1</v>
      </c>
      <c r="B12" s="16" t="s">
        <v>2</v>
      </c>
      <c r="C12" s="16" t="s">
        <v>3</v>
      </c>
      <c r="D12" s="16" t="s">
        <v>97</v>
      </c>
      <c r="E12" s="16" t="s">
        <v>4</v>
      </c>
      <c r="F12" s="16" t="s">
        <v>5</v>
      </c>
      <c r="G12" s="16" t="s">
        <v>6</v>
      </c>
    </row>
    <row r="13" spans="1:9" ht="24" customHeight="1" x14ac:dyDescent="0.2">
      <c r="A13" s="303" t="s">
        <v>48</v>
      </c>
      <c r="B13" s="303"/>
      <c r="C13" s="303"/>
      <c r="D13" s="303"/>
      <c r="E13" s="303"/>
      <c r="F13" s="303"/>
      <c r="G13" s="303"/>
    </row>
    <row r="14" spans="1:9" ht="12.95" customHeight="1" x14ac:dyDescent="0.2">
      <c r="A14" s="304" t="s">
        <v>49</v>
      </c>
      <c r="B14" s="304"/>
      <c r="C14" s="304"/>
      <c r="D14" s="304"/>
      <c r="E14" s="304"/>
      <c r="F14" s="304"/>
      <c r="G14" s="304"/>
    </row>
    <row r="15" spans="1:9" ht="15" hidden="1" customHeight="1" x14ac:dyDescent="0.2">
      <c r="A15" s="17"/>
      <c r="B15" s="18"/>
      <c r="C15" s="18"/>
      <c r="D15" s="19"/>
      <c r="E15" s="20">
        <v>1</v>
      </c>
      <c r="F15" s="20">
        <v>2</v>
      </c>
      <c r="G15" s="20">
        <v>3</v>
      </c>
      <c r="H15" s="21">
        <v>4</v>
      </c>
    </row>
    <row r="16" spans="1:9" ht="37.5" hidden="1" customHeight="1" x14ac:dyDescent="0.2">
      <c r="A16" s="305" t="s">
        <v>50</v>
      </c>
      <c r="B16" s="306" t="s">
        <v>51</v>
      </c>
      <c r="C16" s="306">
        <v>12</v>
      </c>
      <c r="D16" s="28" t="s">
        <v>104</v>
      </c>
      <c r="E16" s="29">
        <v>395</v>
      </c>
      <c r="F16" s="29">
        <f>E16*0.98</f>
        <v>387.09999999999997</v>
      </c>
      <c r="G16" s="29">
        <f>E16*0.96</f>
        <v>379.2</v>
      </c>
      <c r="H16" s="34">
        <f>E16*0.93</f>
        <v>367.35</v>
      </c>
    </row>
    <row r="17" spans="1:8" ht="32.25" customHeight="1" x14ac:dyDescent="0.2">
      <c r="A17" s="305"/>
      <c r="B17" s="306"/>
      <c r="C17" s="306"/>
      <c r="D17" s="13" t="s">
        <v>99</v>
      </c>
      <c r="E17" s="35">
        <v>252</v>
      </c>
      <c r="F17" s="35">
        <v>247</v>
      </c>
      <c r="G17" s="35">
        <v>242</v>
      </c>
      <c r="H17" s="35">
        <f>H16*0.62</f>
        <v>227.75700000000001</v>
      </c>
    </row>
    <row r="18" spans="1:8" ht="32.25" hidden="1" customHeight="1" x14ac:dyDescent="0.2">
      <c r="A18" s="305" t="s">
        <v>52</v>
      </c>
      <c r="B18" s="307" t="s">
        <v>51</v>
      </c>
      <c r="C18" s="307">
        <v>12</v>
      </c>
      <c r="D18" s="28" t="s">
        <v>104</v>
      </c>
      <c r="E18" s="29">
        <v>455</v>
      </c>
      <c r="F18" s="29">
        <f>E18*0.98</f>
        <v>445.9</v>
      </c>
      <c r="G18" s="29">
        <f>E18*0.96</f>
        <v>436.8</v>
      </c>
      <c r="H18" s="36"/>
    </row>
    <row r="19" spans="1:8" ht="32.25" customHeight="1" x14ac:dyDescent="0.2">
      <c r="A19" s="305"/>
      <c r="B19" s="307"/>
      <c r="C19" s="307"/>
      <c r="D19" s="13" t="s">
        <v>99</v>
      </c>
      <c r="E19" s="35">
        <v>291</v>
      </c>
      <c r="F19" s="35">
        <v>285</v>
      </c>
      <c r="G19" s="35">
        <v>279</v>
      </c>
      <c r="H19" s="36"/>
    </row>
    <row r="20" spans="1:8" ht="37.5" hidden="1" customHeight="1" x14ac:dyDescent="0.2">
      <c r="A20" s="308" t="s">
        <v>53</v>
      </c>
      <c r="B20" s="307" t="s">
        <v>54</v>
      </c>
      <c r="C20" s="307">
        <v>16</v>
      </c>
      <c r="D20" s="13" t="s">
        <v>104</v>
      </c>
      <c r="E20" s="13">
        <v>380</v>
      </c>
      <c r="F20" s="29">
        <f>E20*0.97</f>
        <v>368.59999999999997</v>
      </c>
      <c r="G20" s="29">
        <f>E20*0.95</f>
        <v>361</v>
      </c>
      <c r="H20" s="34">
        <f>E20*0.93</f>
        <v>353.40000000000003</v>
      </c>
    </row>
    <row r="21" spans="1:8" ht="31.5" customHeight="1" x14ac:dyDescent="0.2">
      <c r="A21" s="308"/>
      <c r="B21" s="307"/>
      <c r="C21" s="307"/>
      <c r="D21" s="31" t="s">
        <v>99</v>
      </c>
      <c r="E21" s="37">
        <v>388</v>
      </c>
      <c r="F21" s="37">
        <v>377</v>
      </c>
      <c r="G21" s="37">
        <v>369</v>
      </c>
      <c r="H21" s="35">
        <f>H20*0.992</f>
        <v>350.57280000000003</v>
      </c>
    </row>
    <row r="22" spans="1:8" ht="31.5" hidden="1" customHeight="1" x14ac:dyDescent="0.2">
      <c r="A22" s="308" t="s">
        <v>55</v>
      </c>
      <c r="B22" s="307" t="s">
        <v>54</v>
      </c>
      <c r="C22" s="307">
        <v>16</v>
      </c>
      <c r="D22" s="13" t="s">
        <v>104</v>
      </c>
      <c r="E22" s="13">
        <v>440</v>
      </c>
      <c r="F22" s="38">
        <f>E22*0.97</f>
        <v>426.8</v>
      </c>
      <c r="G22" s="38">
        <f>E22*0.95</f>
        <v>418</v>
      </c>
      <c r="H22" s="36"/>
    </row>
    <row r="23" spans="1:8" ht="31.5" customHeight="1" x14ac:dyDescent="0.2">
      <c r="A23" s="308"/>
      <c r="B23" s="307"/>
      <c r="C23" s="307"/>
      <c r="D23" s="31" t="s">
        <v>99</v>
      </c>
      <c r="E23" s="37">
        <v>450</v>
      </c>
      <c r="F23" s="35">
        <v>436</v>
      </c>
      <c r="G23" s="35">
        <v>427</v>
      </c>
      <c r="H23" s="36"/>
    </row>
    <row r="24" spans="1:8" ht="24" customHeight="1" x14ac:dyDescent="0.2">
      <c r="A24" s="303" t="s">
        <v>56</v>
      </c>
      <c r="B24" s="303"/>
      <c r="C24" s="303"/>
      <c r="D24" s="303"/>
      <c r="E24" s="303"/>
      <c r="F24" s="303"/>
      <c r="G24" s="303"/>
    </row>
    <row r="25" spans="1:8" ht="12.95" customHeight="1" x14ac:dyDescent="0.2">
      <c r="A25" s="304" t="s">
        <v>49</v>
      </c>
      <c r="B25" s="304"/>
      <c r="C25" s="304"/>
      <c r="D25" s="304"/>
      <c r="E25" s="304"/>
      <c r="F25" s="304"/>
      <c r="G25" s="304"/>
    </row>
    <row r="26" spans="1:8" ht="33.75" hidden="1" customHeight="1" x14ac:dyDescent="0.2">
      <c r="A26" s="305" t="s">
        <v>57</v>
      </c>
      <c r="B26" s="306" t="s">
        <v>51</v>
      </c>
      <c r="C26" s="306">
        <v>12</v>
      </c>
      <c r="D26" s="28" t="s">
        <v>104</v>
      </c>
      <c r="E26" s="28">
        <v>315</v>
      </c>
      <c r="F26" s="29">
        <f>E26*0.98</f>
        <v>308.7</v>
      </c>
      <c r="G26" s="29">
        <f>E26*0.96</f>
        <v>302.39999999999998</v>
      </c>
      <c r="H26" s="34">
        <f>E26*0.93</f>
        <v>292.95</v>
      </c>
    </row>
    <row r="27" spans="1:8" ht="31.5" customHeight="1" x14ac:dyDescent="0.2">
      <c r="A27" s="305"/>
      <c r="B27" s="306"/>
      <c r="C27" s="306"/>
      <c r="D27" s="13" t="s">
        <v>99</v>
      </c>
      <c r="E27" s="35">
        <v>201</v>
      </c>
      <c r="F27" s="35">
        <v>197</v>
      </c>
      <c r="G27" s="35">
        <v>193</v>
      </c>
      <c r="H27" s="35">
        <f>H26*0.62</f>
        <v>181.62899999999999</v>
      </c>
    </row>
    <row r="28" spans="1:8" ht="29.25" hidden="1" customHeight="1" x14ac:dyDescent="0.2">
      <c r="A28" s="308" t="s">
        <v>58</v>
      </c>
      <c r="B28" s="307" t="s">
        <v>54</v>
      </c>
      <c r="C28" s="307">
        <v>16</v>
      </c>
      <c r="D28" s="13" t="s">
        <v>104</v>
      </c>
      <c r="E28" s="13">
        <v>295</v>
      </c>
      <c r="F28" s="29">
        <f>E28*0.98</f>
        <v>289.10000000000002</v>
      </c>
      <c r="G28" s="29">
        <f>E28*0.96</f>
        <v>283.2</v>
      </c>
      <c r="H28" s="34">
        <f>E28*0.93</f>
        <v>274.35000000000002</v>
      </c>
    </row>
    <row r="29" spans="1:8" ht="30" customHeight="1" x14ac:dyDescent="0.2">
      <c r="A29" s="308"/>
      <c r="B29" s="307"/>
      <c r="C29" s="307"/>
      <c r="D29" s="13" t="s">
        <v>99</v>
      </c>
      <c r="E29" s="37">
        <v>301</v>
      </c>
      <c r="F29" s="37">
        <v>295</v>
      </c>
      <c r="G29" s="37">
        <v>290</v>
      </c>
      <c r="H29" s="37">
        <f>H28*0.992</f>
        <v>272.15520000000004</v>
      </c>
    </row>
    <row r="30" spans="1:8" ht="24.75" customHeight="1" x14ac:dyDescent="0.2">
      <c r="A30" s="309" t="s">
        <v>10</v>
      </c>
      <c r="B30" s="309"/>
      <c r="C30" s="309"/>
      <c r="D30" s="309"/>
      <c r="E30" s="309"/>
      <c r="F30" s="309"/>
      <c r="G30" s="309"/>
    </row>
    <row r="31" spans="1:8" ht="21.75" customHeight="1" x14ac:dyDescent="0.2">
      <c r="A31" s="23" t="s">
        <v>11</v>
      </c>
      <c r="B31" s="10">
        <v>3</v>
      </c>
      <c r="C31" s="10">
        <v>40</v>
      </c>
      <c r="D31" s="11" t="s">
        <v>99</v>
      </c>
      <c r="E31" s="39">
        <v>150</v>
      </c>
      <c r="F31" s="40">
        <v>146</v>
      </c>
      <c r="G31" s="40">
        <v>142</v>
      </c>
      <c r="H31" s="41">
        <f>E31*0.88</f>
        <v>132</v>
      </c>
    </row>
    <row r="32" spans="1:8" ht="21" customHeight="1" x14ac:dyDescent="0.2">
      <c r="A32" s="23" t="s">
        <v>12</v>
      </c>
      <c r="B32" s="10">
        <v>3</v>
      </c>
      <c r="C32" s="10">
        <v>15</v>
      </c>
      <c r="D32" s="11" t="s">
        <v>99</v>
      </c>
      <c r="E32" s="14">
        <v>505</v>
      </c>
      <c r="F32" s="40">
        <f t="shared" ref="F32:F36" si="0">E32*0.98</f>
        <v>494.9</v>
      </c>
      <c r="G32" s="40">
        <f t="shared" ref="G32:G36" si="1">E32*0.95</f>
        <v>479.75</v>
      </c>
      <c r="H32" s="41">
        <f>E32*0.87</f>
        <v>439.35</v>
      </c>
    </row>
    <row r="33" spans="1:8" ht="20.25" customHeight="1" x14ac:dyDescent="0.2">
      <c r="A33" s="23" t="s">
        <v>16</v>
      </c>
      <c r="B33" s="10">
        <v>3</v>
      </c>
      <c r="C33" s="10">
        <v>5</v>
      </c>
      <c r="D33" s="11" t="s">
        <v>99</v>
      </c>
      <c r="E33" s="14">
        <v>556</v>
      </c>
      <c r="F33" s="40">
        <f t="shared" si="0"/>
        <v>544.88</v>
      </c>
      <c r="G33" s="40">
        <f t="shared" si="1"/>
        <v>528.19999999999993</v>
      </c>
      <c r="H33" s="41">
        <f>E33*0.87</f>
        <v>483.71999999999997</v>
      </c>
    </row>
    <row r="34" spans="1:8" ht="19.5" customHeight="1" x14ac:dyDescent="0.2">
      <c r="A34" s="23" t="s">
        <v>17</v>
      </c>
      <c r="B34" s="10">
        <v>3</v>
      </c>
      <c r="C34" s="10">
        <v>10</v>
      </c>
      <c r="D34" s="11" t="s">
        <v>99</v>
      </c>
      <c r="E34" s="14">
        <v>505</v>
      </c>
      <c r="F34" s="40">
        <f t="shared" si="0"/>
        <v>494.9</v>
      </c>
      <c r="G34" s="40">
        <f t="shared" si="1"/>
        <v>479.75</v>
      </c>
      <c r="H34" s="41">
        <f>E34*0.87</f>
        <v>439.35</v>
      </c>
    </row>
    <row r="35" spans="1:8" ht="19.5" customHeight="1" x14ac:dyDescent="0.2">
      <c r="A35" s="23" t="s">
        <v>19</v>
      </c>
      <c r="B35" s="10">
        <v>3</v>
      </c>
      <c r="C35" s="10">
        <v>30</v>
      </c>
      <c r="D35" s="11" t="s">
        <v>99</v>
      </c>
      <c r="E35" s="14">
        <v>252</v>
      </c>
      <c r="F35" s="40">
        <f t="shared" si="0"/>
        <v>246.96</v>
      </c>
      <c r="G35" s="40">
        <v>240</v>
      </c>
      <c r="H35" s="41">
        <f>E35*0.87</f>
        <v>219.24</v>
      </c>
    </row>
    <row r="36" spans="1:8" ht="19.5" customHeight="1" x14ac:dyDescent="0.2">
      <c r="A36" s="23" t="s">
        <v>59</v>
      </c>
      <c r="B36" s="10">
        <v>3</v>
      </c>
      <c r="C36" s="10">
        <v>6</v>
      </c>
      <c r="D36" s="11" t="s">
        <v>99</v>
      </c>
      <c r="E36" s="14">
        <v>556</v>
      </c>
      <c r="F36" s="40">
        <f t="shared" si="0"/>
        <v>544.88</v>
      </c>
      <c r="G36" s="40">
        <f t="shared" si="1"/>
        <v>528.19999999999993</v>
      </c>
      <c r="H36" s="41">
        <f>E36*0.87</f>
        <v>483.71999999999997</v>
      </c>
    </row>
    <row r="37" spans="1:8" ht="19.5" customHeight="1" x14ac:dyDescent="0.2">
      <c r="A37" s="310" t="s">
        <v>21</v>
      </c>
      <c r="B37" s="310"/>
      <c r="C37" s="310"/>
      <c r="D37" s="310"/>
      <c r="E37" s="310"/>
      <c r="F37" s="310"/>
      <c r="G37" s="310"/>
    </row>
    <row r="38" spans="1:8" ht="19.5" customHeight="1" x14ac:dyDescent="0.3">
      <c r="A38" s="24" t="s">
        <v>22</v>
      </c>
      <c r="B38" s="81">
        <v>1.17</v>
      </c>
      <c r="C38" s="82">
        <v>50</v>
      </c>
      <c r="D38" s="80" t="s">
        <v>99</v>
      </c>
      <c r="E38" s="311">
        <v>44</v>
      </c>
      <c r="F38" s="311"/>
      <c r="G38" s="311"/>
    </row>
    <row r="39" spans="1:8" ht="19.5" customHeight="1" x14ac:dyDescent="0.3">
      <c r="A39" s="24" t="s">
        <v>23</v>
      </c>
      <c r="B39" s="81">
        <v>1.23</v>
      </c>
      <c r="C39" s="83">
        <v>50</v>
      </c>
      <c r="D39" s="79" t="s">
        <v>99</v>
      </c>
      <c r="E39" s="311">
        <v>47</v>
      </c>
      <c r="F39" s="311"/>
      <c r="G39" s="311"/>
    </row>
    <row r="40" spans="1:8" ht="19.5" customHeight="1" x14ac:dyDescent="0.3">
      <c r="A40" s="25" t="s">
        <v>24</v>
      </c>
      <c r="B40" s="81">
        <v>1.33</v>
      </c>
      <c r="C40" s="84">
        <v>50</v>
      </c>
      <c r="D40" s="79" t="s">
        <v>99</v>
      </c>
      <c r="E40" s="311">
        <v>50</v>
      </c>
      <c r="F40" s="311"/>
      <c r="G40" s="311"/>
    </row>
    <row r="41" spans="1:8" ht="19.5" customHeight="1" x14ac:dyDescent="0.3">
      <c r="A41" s="25" t="s">
        <v>25</v>
      </c>
      <c r="B41" s="81">
        <v>1.17</v>
      </c>
      <c r="C41" s="82">
        <v>70</v>
      </c>
      <c r="D41" s="79" t="s">
        <v>99</v>
      </c>
      <c r="E41" s="311">
        <v>41</v>
      </c>
      <c r="F41" s="311"/>
      <c r="G41" s="311"/>
    </row>
    <row r="42" spans="1:8" ht="19.5" customHeight="1" x14ac:dyDescent="0.3">
      <c r="A42" s="25" t="s">
        <v>26</v>
      </c>
      <c r="B42" s="81">
        <v>1.3049999999999999</v>
      </c>
      <c r="C42" s="83">
        <v>50</v>
      </c>
      <c r="D42" s="79" t="s">
        <v>99</v>
      </c>
      <c r="E42" s="311">
        <v>58</v>
      </c>
      <c r="F42" s="311"/>
      <c r="G42" s="311"/>
    </row>
    <row r="43" spans="1:8" ht="19.5" customHeight="1" x14ac:dyDescent="0.3">
      <c r="A43" s="25" t="s">
        <v>27</v>
      </c>
      <c r="B43" s="81">
        <v>1.38</v>
      </c>
      <c r="C43" s="83">
        <v>50</v>
      </c>
      <c r="D43" s="79" t="s">
        <v>99</v>
      </c>
      <c r="E43" s="311">
        <v>58</v>
      </c>
      <c r="F43" s="311"/>
      <c r="G43" s="311"/>
    </row>
    <row r="44" spans="1:8" ht="19.5" customHeight="1" x14ac:dyDescent="0.3">
      <c r="A44" s="24" t="s">
        <v>28</v>
      </c>
      <c r="B44" s="81">
        <v>3.4000000000000002E-2</v>
      </c>
      <c r="C44" s="83">
        <v>300</v>
      </c>
      <c r="D44" s="79" t="s">
        <v>99</v>
      </c>
      <c r="E44" s="311">
        <v>7</v>
      </c>
      <c r="F44" s="311"/>
      <c r="G44" s="311"/>
    </row>
    <row r="45" spans="1:8" ht="19.5" customHeight="1" x14ac:dyDescent="0.3">
      <c r="A45" s="25" t="s">
        <v>29</v>
      </c>
      <c r="B45" s="81">
        <v>3.4000000000000002E-2</v>
      </c>
      <c r="C45" s="83">
        <v>300</v>
      </c>
      <c r="D45" s="79" t="s">
        <v>99</v>
      </c>
      <c r="E45" s="311">
        <v>6</v>
      </c>
      <c r="F45" s="311"/>
      <c r="G45" s="311"/>
    </row>
    <row r="46" spans="1:8" ht="19.5" customHeight="1" x14ac:dyDescent="0.3">
      <c r="A46" s="25" t="s">
        <v>30</v>
      </c>
      <c r="B46" s="81">
        <v>8.1000000000000003E-2</v>
      </c>
      <c r="C46" s="84">
        <v>300</v>
      </c>
      <c r="D46" s="79" t="s">
        <v>99</v>
      </c>
      <c r="E46" s="311">
        <v>5</v>
      </c>
      <c r="F46" s="311"/>
      <c r="G46" s="311"/>
    </row>
    <row r="47" spans="1:8" ht="19.5" customHeight="1" x14ac:dyDescent="0.3">
      <c r="A47" s="25" t="s">
        <v>31</v>
      </c>
      <c r="B47" s="85"/>
      <c r="C47" s="86"/>
      <c r="D47" s="78" t="s">
        <v>99</v>
      </c>
      <c r="E47" s="311">
        <v>9</v>
      </c>
      <c r="F47" s="311"/>
      <c r="G47" s="311"/>
    </row>
    <row r="48" spans="1:8" ht="19.5" customHeight="1" x14ac:dyDescent="0.3">
      <c r="A48" s="25" t="s">
        <v>32</v>
      </c>
      <c r="B48" s="85"/>
      <c r="C48" s="87"/>
      <c r="D48" s="78" t="s">
        <v>99</v>
      </c>
      <c r="E48" s="311">
        <v>11</v>
      </c>
      <c r="F48" s="311"/>
      <c r="G48" s="311"/>
    </row>
    <row r="49" spans="1:7" ht="19.5" customHeight="1" x14ac:dyDescent="0.3">
      <c r="A49" s="25" t="s">
        <v>33</v>
      </c>
      <c r="B49" s="85"/>
      <c r="C49" s="87"/>
      <c r="D49" s="78" t="s">
        <v>34</v>
      </c>
      <c r="E49" s="311">
        <v>464</v>
      </c>
      <c r="F49" s="311"/>
      <c r="G49" s="311"/>
    </row>
    <row r="50" spans="1:7" ht="19.5" customHeight="1" x14ac:dyDescent="0.3">
      <c r="A50" s="25" t="s">
        <v>35</v>
      </c>
      <c r="B50" s="85"/>
      <c r="C50" s="87"/>
      <c r="D50" s="78" t="s">
        <v>34</v>
      </c>
      <c r="E50" s="311">
        <v>479</v>
      </c>
      <c r="F50" s="311"/>
      <c r="G50" s="311"/>
    </row>
    <row r="51" spans="1:7" ht="19.5" customHeight="1" x14ac:dyDescent="0.3">
      <c r="A51" s="24" t="s">
        <v>36</v>
      </c>
      <c r="B51" s="81">
        <v>1.17</v>
      </c>
      <c r="C51" s="88"/>
      <c r="D51" s="79" t="s">
        <v>99</v>
      </c>
      <c r="E51" s="311">
        <v>28</v>
      </c>
      <c r="F51" s="311"/>
      <c r="G51" s="311"/>
    </row>
    <row r="52" spans="1:7" ht="24" customHeight="1" x14ac:dyDescent="0.2">
      <c r="A52" s="312" t="s">
        <v>37</v>
      </c>
      <c r="B52" s="312"/>
      <c r="C52" s="312"/>
      <c r="D52" s="312"/>
      <c r="E52" s="312"/>
      <c r="F52" s="312"/>
      <c r="G52" s="312"/>
    </row>
    <row r="53" spans="1:7" ht="27" customHeight="1" x14ac:dyDescent="0.2">
      <c r="A53" s="26" t="s">
        <v>171</v>
      </c>
      <c r="B53" s="27" t="s">
        <v>38</v>
      </c>
      <c r="C53" s="6">
        <v>20</v>
      </c>
      <c r="D53" s="22" t="s">
        <v>99</v>
      </c>
      <c r="E53" s="39">
        <v>230</v>
      </c>
      <c r="F53" s="40">
        <v>223</v>
      </c>
      <c r="G53" s="40">
        <v>220</v>
      </c>
    </row>
    <row r="54" spans="1:7" ht="27" customHeight="1" x14ac:dyDescent="0.2">
      <c r="A54" s="26" t="s">
        <v>170</v>
      </c>
      <c r="B54" s="27" t="s">
        <v>38</v>
      </c>
      <c r="C54" s="174">
        <v>20</v>
      </c>
      <c r="D54" s="173" t="s">
        <v>99</v>
      </c>
      <c r="E54" s="191">
        <v>386</v>
      </c>
      <c r="F54" s="40">
        <v>375</v>
      </c>
      <c r="G54" s="40">
        <v>367</v>
      </c>
    </row>
    <row r="55" spans="1:7" ht="30" customHeight="1" x14ac:dyDescent="0.2">
      <c r="A55" s="26" t="s">
        <v>172</v>
      </c>
      <c r="B55" s="27" t="s">
        <v>38</v>
      </c>
      <c r="C55" s="9">
        <v>20</v>
      </c>
      <c r="D55" s="30" t="s">
        <v>99</v>
      </c>
      <c r="E55" s="279">
        <v>285</v>
      </c>
      <c r="F55" s="40">
        <v>275</v>
      </c>
      <c r="G55" s="40">
        <v>270</v>
      </c>
    </row>
    <row r="56" spans="1:7" ht="19.5" customHeight="1" x14ac:dyDescent="0.2">
      <c r="A56" s="32" t="s">
        <v>39</v>
      </c>
      <c r="B56" s="27">
        <v>3</v>
      </c>
      <c r="C56" s="6">
        <v>14</v>
      </c>
      <c r="D56" s="30" t="s">
        <v>99</v>
      </c>
      <c r="E56" s="13">
        <v>473</v>
      </c>
      <c r="F56" s="40">
        <v>465</v>
      </c>
      <c r="G56" s="40">
        <v>455</v>
      </c>
    </row>
    <row r="57" spans="1:7" ht="19.5" customHeight="1" x14ac:dyDescent="0.2">
      <c r="A57" s="32" t="s">
        <v>40</v>
      </c>
      <c r="B57" s="27">
        <v>3</v>
      </c>
      <c r="C57" s="6">
        <v>14</v>
      </c>
      <c r="D57" s="30" t="s">
        <v>99</v>
      </c>
      <c r="E57" s="13">
        <v>582</v>
      </c>
      <c r="F57" s="40">
        <v>571</v>
      </c>
      <c r="G57" s="40">
        <v>558</v>
      </c>
    </row>
    <row r="58" spans="1:7" ht="19.5" customHeight="1" x14ac:dyDescent="0.2">
      <c r="A58" s="32" t="s">
        <v>41</v>
      </c>
      <c r="B58" s="27">
        <v>3</v>
      </c>
      <c r="C58" s="6">
        <v>40</v>
      </c>
      <c r="D58" s="30" t="s">
        <v>99</v>
      </c>
      <c r="E58" s="13">
        <v>211</v>
      </c>
      <c r="F58" s="40">
        <f t="shared" ref="F58:F62" si="2">E58*0.98</f>
        <v>206.78</v>
      </c>
      <c r="G58" s="40">
        <f t="shared" ref="G58:G62" si="3">E58*0.96</f>
        <v>202.56</v>
      </c>
    </row>
    <row r="59" spans="1:7" ht="18.75" customHeight="1" x14ac:dyDescent="0.2">
      <c r="A59" s="32" t="s">
        <v>42</v>
      </c>
      <c r="B59" s="27">
        <v>3</v>
      </c>
      <c r="C59" s="6">
        <v>10</v>
      </c>
      <c r="D59" s="30" t="s">
        <v>99</v>
      </c>
      <c r="E59" s="13">
        <v>515</v>
      </c>
      <c r="F59" s="40">
        <f t="shared" si="2"/>
        <v>504.7</v>
      </c>
      <c r="G59" s="40">
        <v>495</v>
      </c>
    </row>
    <row r="60" spans="1:7" ht="18" customHeight="1" x14ac:dyDescent="0.2">
      <c r="A60" s="32" t="s">
        <v>43</v>
      </c>
      <c r="B60" s="27">
        <v>3</v>
      </c>
      <c r="C60" s="6">
        <v>20</v>
      </c>
      <c r="D60" s="30" t="s">
        <v>99</v>
      </c>
      <c r="E60" s="13">
        <v>432</v>
      </c>
      <c r="F60" s="40">
        <v>424</v>
      </c>
      <c r="G60" s="40">
        <f t="shared" si="3"/>
        <v>414.71999999999997</v>
      </c>
    </row>
    <row r="61" spans="1:7" ht="18" customHeight="1" x14ac:dyDescent="0.2">
      <c r="A61" s="74" t="s">
        <v>44</v>
      </c>
      <c r="B61" s="75">
        <v>3</v>
      </c>
      <c r="C61" s="9">
        <v>20</v>
      </c>
      <c r="D61" s="30" t="s">
        <v>99</v>
      </c>
      <c r="E61" s="31">
        <v>432</v>
      </c>
      <c r="F61" s="89">
        <v>424</v>
      </c>
      <c r="G61" s="89">
        <f t="shared" si="3"/>
        <v>414.71999999999997</v>
      </c>
    </row>
    <row r="62" spans="1:7" ht="18" customHeight="1" x14ac:dyDescent="0.2">
      <c r="A62" s="90" t="s">
        <v>111</v>
      </c>
      <c r="B62" s="76">
        <v>3</v>
      </c>
      <c r="C62" s="73">
        <v>40</v>
      </c>
      <c r="D62" s="77" t="s">
        <v>99</v>
      </c>
      <c r="E62" s="92">
        <v>211</v>
      </c>
      <c r="F62" s="93">
        <f t="shared" si="2"/>
        <v>206.78</v>
      </c>
      <c r="G62" s="91">
        <f t="shared" si="3"/>
        <v>202.56</v>
      </c>
    </row>
    <row r="63" spans="1:7" x14ac:dyDescent="0.2">
      <c r="A63" s="33"/>
      <c r="B63" s="33"/>
      <c r="C63" s="33"/>
      <c r="D63" s="33"/>
      <c r="E63" s="33"/>
      <c r="F63" s="33"/>
      <c r="G63" s="33"/>
    </row>
    <row r="65" spans="1:1" x14ac:dyDescent="0.2">
      <c r="A65" s="42"/>
    </row>
    <row r="66" spans="1:1" x14ac:dyDescent="0.2">
      <c r="A66" s="12" t="s">
        <v>100</v>
      </c>
    </row>
  </sheetData>
  <sheetProtection password="CC3B" sheet="1" objects="1" scenarios="1" selectLockedCells="1" selectUnlockedCells="1"/>
  <mergeCells count="42">
    <mergeCell ref="E43:G43"/>
    <mergeCell ref="E44:G44"/>
    <mergeCell ref="E51:G51"/>
    <mergeCell ref="A52:G52"/>
    <mergeCell ref="E45:G45"/>
    <mergeCell ref="E46:G46"/>
    <mergeCell ref="E47:G47"/>
    <mergeCell ref="E48:G48"/>
    <mergeCell ref="E49:G49"/>
    <mergeCell ref="E50:G50"/>
    <mergeCell ref="E38:G38"/>
    <mergeCell ref="E39:G39"/>
    <mergeCell ref="E40:G40"/>
    <mergeCell ref="E41:G41"/>
    <mergeCell ref="E42:G42"/>
    <mergeCell ref="A28:A29"/>
    <mergeCell ref="B28:B29"/>
    <mergeCell ref="C28:C29"/>
    <mergeCell ref="A30:G30"/>
    <mergeCell ref="A37:G37"/>
    <mergeCell ref="A24:G24"/>
    <mergeCell ref="A25:G25"/>
    <mergeCell ref="A26:A27"/>
    <mergeCell ref="B26:B27"/>
    <mergeCell ref="C26:C27"/>
    <mergeCell ref="A20:A21"/>
    <mergeCell ref="B20:B21"/>
    <mergeCell ref="C20:C21"/>
    <mergeCell ref="A22:A23"/>
    <mergeCell ref="B22:B23"/>
    <mergeCell ref="C22:C23"/>
    <mergeCell ref="A16:A17"/>
    <mergeCell ref="B16:B17"/>
    <mergeCell ref="C16:C17"/>
    <mergeCell ref="A18:A19"/>
    <mergeCell ref="B18:B19"/>
    <mergeCell ref="C18:C19"/>
    <mergeCell ref="A9:G9"/>
    <mergeCell ref="E10:G10"/>
    <mergeCell ref="E11:G11"/>
    <mergeCell ref="A13:G13"/>
    <mergeCell ref="A14:G14"/>
  </mergeCells>
  <phoneticPr fontId="24" type="noConversion"/>
  <printOptions horizontalCentered="1"/>
  <pageMargins left="0.19652777777777777" right="0" top="0.19652777777777777" bottom="0" header="0.51180555555555551" footer="0.51180555555555551"/>
  <pageSetup paperSize="9" scale="68" firstPageNumber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4"/>
  <sheetViews>
    <sheetView workbookViewId="0">
      <selection activeCell="E5" sqref="E5"/>
    </sheetView>
  </sheetViews>
  <sheetFormatPr defaultRowHeight="12.75" x14ac:dyDescent="0.2"/>
  <cols>
    <col min="1" max="1" width="33.140625" bestFit="1" customWidth="1"/>
    <col min="5" max="5" width="13.42578125" bestFit="1" customWidth="1"/>
    <col min="6" max="6" width="22.140625" bestFit="1" customWidth="1"/>
    <col min="7" max="7" width="9" bestFit="1" customWidth="1"/>
    <col min="8" max="8" width="8.7109375" bestFit="1" customWidth="1"/>
    <col min="11" max="11" width="31" bestFit="1" customWidth="1"/>
    <col min="12" max="12" width="10.140625" bestFit="1" customWidth="1"/>
  </cols>
  <sheetData>
    <row r="1" spans="1:12" ht="15.75" x14ac:dyDescent="0.25">
      <c r="F1" s="113" t="s">
        <v>145</v>
      </c>
    </row>
    <row r="2" spans="1:12" ht="15.75" x14ac:dyDescent="0.25">
      <c r="F2" s="114" t="s">
        <v>87</v>
      </c>
    </row>
    <row r="3" spans="1:12" ht="15.75" x14ac:dyDescent="0.25">
      <c r="F3" s="114" t="s">
        <v>88</v>
      </c>
    </row>
    <row r="4" spans="1:12" ht="15.75" x14ac:dyDescent="0.25">
      <c r="F4" s="115" t="s">
        <v>89</v>
      </c>
    </row>
    <row r="5" spans="1:12" ht="15.75" x14ac:dyDescent="0.25">
      <c r="F5" s="114" t="s">
        <v>91</v>
      </c>
    </row>
    <row r="6" spans="1:12" ht="15.75" x14ac:dyDescent="0.25">
      <c r="A6" s="345" t="s">
        <v>92</v>
      </c>
      <c r="B6" s="345"/>
      <c r="C6" s="345"/>
    </row>
    <row r="7" spans="1:12" x14ac:dyDescent="0.2">
      <c r="A7" s="258"/>
      <c r="B7" s="258"/>
      <c r="C7" s="258"/>
      <c r="D7" s="258"/>
      <c r="E7" s="258"/>
      <c r="F7" s="258"/>
      <c r="G7" s="108"/>
      <c r="H7" s="108"/>
      <c r="I7" s="257"/>
      <c r="J7" s="257"/>
      <c r="K7" s="256" t="s">
        <v>235</v>
      </c>
      <c r="L7" s="277">
        <v>43474</v>
      </c>
    </row>
    <row r="8" spans="1:12" ht="18.75" thickBot="1" x14ac:dyDescent="0.3">
      <c r="A8" s="346" t="s">
        <v>286</v>
      </c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</row>
    <row r="9" spans="1:12" x14ac:dyDescent="0.2">
      <c r="A9" s="255"/>
      <c r="B9" s="254"/>
      <c r="C9" s="254"/>
      <c r="D9" s="254"/>
      <c r="E9" s="198"/>
      <c r="F9" s="253"/>
      <c r="G9" s="108"/>
      <c r="H9" s="108"/>
      <c r="I9" s="108"/>
      <c r="J9" s="108"/>
      <c r="K9" s="249" t="s">
        <v>266</v>
      </c>
      <c r="L9" s="252">
        <v>43466</v>
      </c>
    </row>
    <row r="10" spans="1:12" ht="51" x14ac:dyDescent="0.2">
      <c r="A10" s="347" t="s">
        <v>96</v>
      </c>
      <c r="B10" s="348"/>
      <c r="C10" s="348"/>
      <c r="D10" s="349"/>
      <c r="E10" s="246" t="s">
        <v>265</v>
      </c>
      <c r="F10" s="247" t="s">
        <v>264</v>
      </c>
      <c r="G10" s="247" t="s">
        <v>215</v>
      </c>
      <c r="H10" s="246" t="s">
        <v>263</v>
      </c>
      <c r="I10" s="350" t="s">
        <v>132</v>
      </c>
      <c r="J10" s="351"/>
      <c r="K10" s="245" t="s">
        <v>187</v>
      </c>
      <c r="L10" s="245" t="s">
        <v>186</v>
      </c>
    </row>
    <row r="11" spans="1:12" ht="12.75" customHeight="1" x14ac:dyDescent="0.2">
      <c r="A11" s="332" t="s">
        <v>285</v>
      </c>
      <c r="B11" s="331"/>
      <c r="C11" s="331"/>
      <c r="D11" s="331"/>
      <c r="E11" s="259" t="s">
        <v>284</v>
      </c>
      <c r="F11" s="259" t="s">
        <v>283</v>
      </c>
      <c r="G11" s="259">
        <f>ROUND(1.487*0.306,3)</f>
        <v>0.45500000000000002</v>
      </c>
      <c r="H11" s="259">
        <v>15</v>
      </c>
      <c r="I11" s="313" t="s">
        <v>282</v>
      </c>
      <c r="J11" s="314"/>
      <c r="K11" s="243">
        <f>ROUND(379*Belarus*(1-B60),2)</f>
        <v>379</v>
      </c>
      <c r="L11" s="242">
        <f>ROUND(833*Belarus*(1-B60),2)</f>
        <v>833</v>
      </c>
    </row>
    <row r="12" spans="1:12" x14ac:dyDescent="0.2">
      <c r="A12" s="333"/>
      <c r="B12" s="331"/>
      <c r="C12" s="331"/>
      <c r="D12" s="331"/>
      <c r="E12" s="259" t="s">
        <v>280</v>
      </c>
      <c r="F12" s="259" t="s">
        <v>279</v>
      </c>
      <c r="G12" s="259">
        <f>ROUND(1.476*0.312,3)</f>
        <v>0.46100000000000002</v>
      </c>
      <c r="H12" s="259">
        <v>15</v>
      </c>
      <c r="I12" s="313" t="s">
        <v>133</v>
      </c>
      <c r="J12" s="314"/>
      <c r="K12" s="243">
        <f>ROUND(362*Belarus*(1-B60),2)</f>
        <v>362</v>
      </c>
      <c r="L12" s="242">
        <f>ROUND(786*Belarus*(1-B60),2)</f>
        <v>786</v>
      </c>
    </row>
    <row r="13" spans="1:12" ht="12.75" customHeight="1" x14ac:dyDescent="0.2">
      <c r="A13" s="332" t="s">
        <v>281</v>
      </c>
      <c r="B13" s="334"/>
      <c r="C13" s="335"/>
      <c r="D13" s="336"/>
      <c r="E13" s="315" t="s">
        <v>280</v>
      </c>
      <c r="F13" s="315" t="s">
        <v>279</v>
      </c>
      <c r="G13" s="315">
        <f>ROUND(1.476*0.312,3)</f>
        <v>0.46100000000000002</v>
      </c>
      <c r="H13" s="315">
        <v>15</v>
      </c>
      <c r="I13" s="313" t="s">
        <v>134</v>
      </c>
      <c r="J13" s="314"/>
      <c r="K13" s="243">
        <f>ROUND(384*Belarus*(1-B60),2)</f>
        <v>384</v>
      </c>
      <c r="L13" s="242">
        <f>ROUND(834*Belarus*(1-B60),2)</f>
        <v>834</v>
      </c>
    </row>
    <row r="14" spans="1:12" ht="25.5" customHeight="1" x14ac:dyDescent="0.2">
      <c r="A14" s="333"/>
      <c r="B14" s="337"/>
      <c r="C14" s="338"/>
      <c r="D14" s="339"/>
      <c r="E14" s="316"/>
      <c r="F14" s="316"/>
      <c r="G14" s="316"/>
      <c r="H14" s="316"/>
      <c r="I14" s="313" t="s">
        <v>303</v>
      </c>
      <c r="J14" s="314"/>
      <c r="K14" s="243">
        <f>ROUND(362*Belarus*(1-B60),2)</f>
        <v>362</v>
      </c>
      <c r="L14" s="242">
        <f>ROUND(787*Belarus*(1-B60),2)</f>
        <v>787</v>
      </c>
    </row>
    <row r="15" spans="1:12" ht="25.5" customHeight="1" x14ac:dyDescent="0.2">
      <c r="A15" s="260" t="s">
        <v>278</v>
      </c>
      <c r="B15" s="324"/>
      <c r="C15" s="325"/>
      <c r="D15" s="326"/>
      <c r="E15" s="259" t="s">
        <v>277</v>
      </c>
      <c r="F15" s="259" t="s">
        <v>276</v>
      </c>
      <c r="G15" s="259">
        <f>ROUND(1.322*0.294,3)</f>
        <v>0.38900000000000001</v>
      </c>
      <c r="H15" s="259">
        <v>15</v>
      </c>
      <c r="I15" s="313" t="s">
        <v>304</v>
      </c>
      <c r="J15" s="314"/>
      <c r="K15" s="243">
        <f>ROUND(306*Belarus*(1-B60),2)</f>
        <v>306</v>
      </c>
      <c r="L15" s="242">
        <f>ROUND(789*Belarus*(1-B60),2)</f>
        <v>789</v>
      </c>
    </row>
    <row r="16" spans="1:12" ht="12.75" customHeight="1" x14ac:dyDescent="0.2">
      <c r="A16" s="260" t="s">
        <v>275</v>
      </c>
      <c r="B16" s="327"/>
      <c r="C16" s="328"/>
      <c r="D16" s="329"/>
      <c r="E16" s="259" t="s">
        <v>274</v>
      </c>
      <c r="F16" s="259" t="s">
        <v>273</v>
      </c>
      <c r="G16" s="259">
        <f>ROUND(1.475*0.306,3)</f>
        <v>0.45100000000000001</v>
      </c>
      <c r="H16" s="259">
        <v>15</v>
      </c>
      <c r="I16" s="313" t="s">
        <v>305</v>
      </c>
      <c r="J16" s="314"/>
      <c r="K16" s="251">
        <f>ROUND(355*Belarus*(1-B60),2)</f>
        <v>355</v>
      </c>
      <c r="L16" s="242">
        <f>ROUND(787*Belarus*(1-B60),2)</f>
        <v>787</v>
      </c>
    </row>
    <row r="17" spans="1:12" ht="12.75" customHeight="1" x14ac:dyDescent="0.2">
      <c r="A17" s="330" t="s">
        <v>272</v>
      </c>
      <c r="B17" s="330"/>
      <c r="C17" s="330"/>
      <c r="D17" s="330"/>
      <c r="E17" s="331" t="s">
        <v>271</v>
      </c>
      <c r="F17" s="331"/>
      <c r="G17" s="331"/>
      <c r="H17" s="259">
        <v>200</v>
      </c>
      <c r="I17" s="317" t="s">
        <v>139</v>
      </c>
      <c r="J17" s="317"/>
      <c r="K17" s="242">
        <f>ROUND(15*Belarus*(1-B60),2)</f>
        <v>15</v>
      </c>
      <c r="L17" s="250" t="s">
        <v>106</v>
      </c>
    </row>
    <row r="18" spans="1:12" ht="12.75" customHeight="1" x14ac:dyDescent="0.2">
      <c r="A18" s="320" t="s">
        <v>270</v>
      </c>
      <c r="B18" s="332"/>
      <c r="C18" s="332"/>
      <c r="D18" s="332"/>
      <c r="E18" s="332"/>
      <c r="F18" s="332"/>
      <c r="G18" s="332"/>
      <c r="H18" s="332"/>
      <c r="I18" s="332"/>
      <c r="J18" s="332"/>
      <c r="K18" s="332"/>
      <c r="L18" s="318"/>
    </row>
    <row r="19" spans="1:12" x14ac:dyDescent="0.2">
      <c r="A19" s="214"/>
      <c r="B19" s="214"/>
      <c r="C19" s="214"/>
      <c r="D19" s="214"/>
      <c r="E19" s="214"/>
      <c r="F19" s="214"/>
      <c r="G19" s="214"/>
      <c r="H19" s="214"/>
      <c r="I19" s="214"/>
      <c r="J19" s="214"/>
      <c r="K19" s="214"/>
      <c r="L19" s="214"/>
    </row>
    <row r="20" spans="1:12" ht="18.75" thickBot="1" x14ac:dyDescent="0.3">
      <c r="A20" s="346" t="s">
        <v>269</v>
      </c>
      <c r="B20" s="346"/>
      <c r="C20" s="346"/>
      <c r="D20" s="346"/>
      <c r="E20" s="346"/>
      <c r="F20" s="346"/>
      <c r="G20" s="346"/>
      <c r="H20" s="346"/>
      <c r="I20" s="346"/>
      <c r="J20" s="346"/>
      <c r="K20" s="346"/>
      <c r="L20" s="346"/>
    </row>
    <row r="21" spans="1:12" ht="12.75" customHeight="1" x14ac:dyDescent="0.2">
      <c r="A21" s="108"/>
      <c r="B21" s="108"/>
      <c r="C21" s="108"/>
      <c r="D21" s="108"/>
      <c r="E21" s="214"/>
      <c r="F21" s="214"/>
      <c r="G21" s="214"/>
      <c r="H21" s="214"/>
      <c r="I21" s="214"/>
      <c r="J21" s="214"/>
      <c r="K21" s="278" t="s">
        <v>266</v>
      </c>
      <c r="L21" s="248">
        <v>43466</v>
      </c>
    </row>
    <row r="22" spans="1:12" ht="12.75" customHeight="1" x14ac:dyDescent="0.2">
      <c r="A22" s="352" t="s">
        <v>96</v>
      </c>
      <c r="B22" s="353"/>
      <c r="C22" s="354"/>
      <c r="D22" s="361" t="s">
        <v>2</v>
      </c>
      <c r="E22" s="361" t="s">
        <v>137</v>
      </c>
      <c r="F22" s="361" t="s">
        <v>243</v>
      </c>
      <c r="G22" s="361"/>
      <c r="H22" s="361"/>
      <c r="I22" s="361"/>
      <c r="J22" s="361"/>
      <c r="K22" s="361"/>
      <c r="L22" s="361"/>
    </row>
    <row r="23" spans="1:12" x14ac:dyDescent="0.2">
      <c r="A23" s="355"/>
      <c r="B23" s="356"/>
      <c r="C23" s="357"/>
      <c r="D23" s="361"/>
      <c r="E23" s="361"/>
      <c r="F23" s="361" t="s">
        <v>220</v>
      </c>
      <c r="G23" s="361"/>
      <c r="H23" s="361"/>
      <c r="I23" s="361"/>
      <c r="J23" s="361"/>
      <c r="K23" s="361" t="s">
        <v>138</v>
      </c>
      <c r="L23" s="361"/>
    </row>
    <row r="24" spans="1:12" ht="12.75" customHeight="1" x14ac:dyDescent="0.2">
      <c r="A24" s="358"/>
      <c r="B24" s="359"/>
      <c r="C24" s="360"/>
      <c r="D24" s="361"/>
      <c r="E24" s="361"/>
      <c r="F24" s="276" t="s">
        <v>139</v>
      </c>
      <c r="G24" s="276" t="s">
        <v>107</v>
      </c>
      <c r="H24" s="276" t="s">
        <v>140</v>
      </c>
      <c r="I24" s="276" t="s">
        <v>141</v>
      </c>
      <c r="J24" s="276" t="s">
        <v>135</v>
      </c>
      <c r="K24" s="362" t="s">
        <v>136</v>
      </c>
      <c r="L24" s="363"/>
    </row>
    <row r="25" spans="1:12" ht="12.75" customHeight="1" x14ac:dyDescent="0.2">
      <c r="A25" s="342" t="s">
        <v>142</v>
      </c>
      <c r="B25" s="343"/>
      <c r="C25" s="344"/>
      <c r="D25" s="269">
        <v>3</v>
      </c>
      <c r="E25" s="209">
        <v>10</v>
      </c>
      <c r="F25" s="263">
        <f>ROUND(254*Belarus*(1-B62),2)</f>
        <v>254</v>
      </c>
      <c r="G25" s="263"/>
      <c r="H25" s="263">
        <f>F25</f>
        <v>254</v>
      </c>
      <c r="I25" s="263">
        <f>F25</f>
        <v>254</v>
      </c>
      <c r="J25" s="263">
        <f>ROUND(393*Belarus*(1-B62),2)</f>
        <v>393</v>
      </c>
      <c r="K25" s="340">
        <f>ROUND(562*Belarus*(1-B62),2)</f>
        <v>562</v>
      </c>
      <c r="L25" s="341"/>
    </row>
    <row r="26" spans="1:12" ht="12.75" customHeight="1" x14ac:dyDescent="0.2">
      <c r="A26" s="342" t="s">
        <v>242</v>
      </c>
      <c r="B26" s="343"/>
      <c r="C26" s="344"/>
      <c r="D26" s="269">
        <v>3</v>
      </c>
      <c r="E26" s="209">
        <v>10</v>
      </c>
      <c r="F26" s="263">
        <f>ROUND(611*Belarus*(1-B62),2)</f>
        <v>611</v>
      </c>
      <c r="G26" s="263"/>
      <c r="H26" s="263" t="s">
        <v>106</v>
      </c>
      <c r="I26" s="263" t="s">
        <v>106</v>
      </c>
      <c r="J26" s="263" t="s">
        <v>106</v>
      </c>
      <c r="K26" s="340">
        <f>ROUND(1071*Belarus*(1-B62),2)</f>
        <v>1071</v>
      </c>
      <c r="L26" s="341"/>
    </row>
    <row r="27" spans="1:12" ht="12.75" customHeight="1" x14ac:dyDescent="0.2">
      <c r="A27" s="342" t="s">
        <v>143</v>
      </c>
      <c r="B27" s="343"/>
      <c r="C27" s="344"/>
      <c r="D27" s="269">
        <v>3</v>
      </c>
      <c r="E27" s="209">
        <v>6</v>
      </c>
      <c r="F27" s="263">
        <f>ROUND(388*Belarus*(1-B62),2)</f>
        <v>388</v>
      </c>
      <c r="G27" s="263"/>
      <c r="H27" s="263">
        <f>F27</f>
        <v>388</v>
      </c>
      <c r="I27" s="263">
        <f>F27</f>
        <v>388</v>
      </c>
      <c r="J27" s="263">
        <f>ROUND(430*Belarus*(1-B62),2)</f>
        <v>430</v>
      </c>
      <c r="K27" s="340">
        <f>ROUND(618*Belarus*(1-B62),2)</f>
        <v>618</v>
      </c>
      <c r="L27" s="341"/>
    </row>
    <row r="28" spans="1:12" x14ac:dyDescent="0.2">
      <c r="A28" s="342" t="s">
        <v>241</v>
      </c>
      <c r="B28" s="343"/>
      <c r="C28" s="344"/>
      <c r="D28" s="269">
        <v>3</v>
      </c>
      <c r="E28" s="209">
        <v>45</v>
      </c>
      <c r="F28" s="263">
        <f>ROUND(149*Belarus*(1-B62),2)</f>
        <v>149</v>
      </c>
      <c r="G28" s="263"/>
      <c r="H28" s="263">
        <f>F28</f>
        <v>149</v>
      </c>
      <c r="I28" s="263">
        <f>F28</f>
        <v>149</v>
      </c>
      <c r="J28" s="263">
        <f>ROUND(206*Belarus*(1-B62),2)</f>
        <v>206</v>
      </c>
      <c r="K28" s="340">
        <f>ROUND(295*Belarus*(1-B62),2)</f>
        <v>295</v>
      </c>
      <c r="L28" s="341"/>
    </row>
    <row r="29" spans="1:12" x14ac:dyDescent="0.2">
      <c r="A29" s="342" t="s">
        <v>268</v>
      </c>
      <c r="B29" s="343"/>
      <c r="C29" s="344"/>
      <c r="D29" s="269">
        <v>3</v>
      </c>
      <c r="E29" s="209">
        <v>6</v>
      </c>
      <c r="F29" s="263">
        <f>ROUND(388*Belarus*(1-B62),2)</f>
        <v>388</v>
      </c>
      <c r="G29" s="263">
        <f>F29</f>
        <v>388</v>
      </c>
      <c r="H29" s="263" t="s">
        <v>106</v>
      </c>
      <c r="I29" s="263" t="s">
        <v>106</v>
      </c>
      <c r="J29" s="263">
        <f>ROUND(430*Belarus*(1-B62),2)</f>
        <v>430</v>
      </c>
      <c r="K29" s="340">
        <f>ROUND(618*Belarus*(1-B62),2)</f>
        <v>618</v>
      </c>
      <c r="L29" s="341"/>
    </row>
    <row r="30" spans="1:12" x14ac:dyDescent="0.2">
      <c r="A30" s="266"/>
      <c r="B30" s="266"/>
      <c r="C30" s="266"/>
      <c r="D30" s="266"/>
      <c r="E30" s="108"/>
      <c r="F30" s="108"/>
      <c r="G30" s="108"/>
      <c r="H30" s="108"/>
      <c r="I30" s="108"/>
      <c r="J30" s="108"/>
      <c r="K30" s="108"/>
      <c r="L30" s="108"/>
    </row>
    <row r="31" spans="1:12" ht="18.75" thickBot="1" x14ac:dyDescent="0.3">
      <c r="A31" s="346" t="s">
        <v>267</v>
      </c>
      <c r="B31" s="346"/>
      <c r="C31" s="346"/>
      <c r="D31" s="346"/>
      <c r="E31" s="346"/>
      <c r="F31" s="346"/>
      <c r="G31" s="346"/>
      <c r="H31" s="346"/>
      <c r="I31" s="346"/>
      <c r="J31" s="346"/>
      <c r="K31" s="346"/>
      <c r="L31" s="346"/>
    </row>
    <row r="32" spans="1:12" x14ac:dyDescent="0.2">
      <c r="A32" s="266"/>
      <c r="B32" s="266"/>
      <c r="C32" s="266"/>
      <c r="D32" s="266"/>
      <c r="E32" s="108"/>
      <c r="F32" s="108"/>
      <c r="G32" s="108"/>
      <c r="H32" s="108"/>
      <c r="I32" s="108"/>
      <c r="J32" s="108"/>
      <c r="K32" s="249" t="s">
        <v>266</v>
      </c>
      <c r="L32" s="248">
        <v>43474</v>
      </c>
    </row>
    <row r="33" spans="1:12" ht="57" customHeight="1" x14ac:dyDescent="0.2">
      <c r="A33" s="347" t="s">
        <v>96</v>
      </c>
      <c r="B33" s="348"/>
      <c r="C33" s="348"/>
      <c r="D33" s="349"/>
      <c r="E33" s="246" t="s">
        <v>265</v>
      </c>
      <c r="F33" s="247" t="s">
        <v>264</v>
      </c>
      <c r="G33" s="247" t="s">
        <v>215</v>
      </c>
      <c r="H33" s="246" t="s">
        <v>263</v>
      </c>
      <c r="I33" s="350" t="s">
        <v>132</v>
      </c>
      <c r="J33" s="351"/>
      <c r="K33" s="245" t="s">
        <v>187</v>
      </c>
      <c r="L33" s="245" t="s">
        <v>186</v>
      </c>
    </row>
    <row r="34" spans="1:12" ht="48.75" customHeight="1" x14ac:dyDescent="0.2">
      <c r="A34" s="332" t="s">
        <v>262</v>
      </c>
      <c r="B34" s="334"/>
      <c r="C34" s="335"/>
      <c r="D34" s="336"/>
      <c r="E34" s="315" t="s">
        <v>261</v>
      </c>
      <c r="F34" s="315" t="s">
        <v>260</v>
      </c>
      <c r="G34" s="315">
        <v>0.377</v>
      </c>
      <c r="H34" s="315">
        <v>10</v>
      </c>
      <c r="I34" s="364" t="s">
        <v>306</v>
      </c>
      <c r="J34" s="365"/>
      <c r="K34" s="243">
        <f>ROUND(404*Belarus*(1-B61),2)</f>
        <v>404</v>
      </c>
      <c r="L34" s="244">
        <f>ROUND(K34/G34,2)</f>
        <v>1071.6199999999999</v>
      </c>
    </row>
    <row r="35" spans="1:12" ht="38.25" customHeight="1" x14ac:dyDescent="0.2">
      <c r="A35" s="333"/>
      <c r="B35" s="337"/>
      <c r="C35" s="338"/>
      <c r="D35" s="339"/>
      <c r="E35" s="316"/>
      <c r="F35" s="316"/>
      <c r="G35" s="316"/>
      <c r="H35" s="316"/>
      <c r="I35" s="364" t="s">
        <v>307</v>
      </c>
      <c r="J35" s="365"/>
      <c r="K35" s="243">
        <f>ROUND(409*Belarus*(1-B61),2)</f>
        <v>409</v>
      </c>
      <c r="L35" s="244">
        <f>ROUND(K35/G34,2)</f>
        <v>1084.8800000000001</v>
      </c>
    </row>
    <row r="36" spans="1:12" ht="12.75" customHeight="1" x14ac:dyDescent="0.2">
      <c r="A36" s="332" t="s">
        <v>259</v>
      </c>
      <c r="B36" s="334"/>
      <c r="C36" s="335"/>
      <c r="D36" s="336"/>
      <c r="E36" s="315" t="s">
        <v>258</v>
      </c>
      <c r="F36" s="315" t="s">
        <v>257</v>
      </c>
      <c r="G36" s="315">
        <v>0.38800000000000001</v>
      </c>
      <c r="H36" s="315">
        <v>10</v>
      </c>
      <c r="I36" s="313" t="s">
        <v>306</v>
      </c>
      <c r="J36" s="314"/>
      <c r="K36" s="242">
        <f>ROUND(404*Belarus*(1-B61),2)</f>
        <v>404</v>
      </c>
      <c r="L36" s="242">
        <f>ROUND(K36/G36,2)</f>
        <v>1041.24</v>
      </c>
    </row>
    <row r="37" spans="1:12" ht="12.75" customHeight="1" x14ac:dyDescent="0.2">
      <c r="A37" s="333"/>
      <c r="B37" s="337"/>
      <c r="C37" s="338"/>
      <c r="D37" s="339"/>
      <c r="E37" s="316"/>
      <c r="F37" s="316"/>
      <c r="G37" s="316"/>
      <c r="H37" s="316"/>
      <c r="I37" s="313" t="s">
        <v>308</v>
      </c>
      <c r="J37" s="314"/>
      <c r="K37" s="242">
        <f>ROUND(409*Belarus*(1-B61),2)</f>
        <v>409</v>
      </c>
      <c r="L37" s="242">
        <f>ROUND(K37/G36,2)</f>
        <v>1054.1199999999999</v>
      </c>
    </row>
    <row r="38" spans="1:12" ht="12.75" customHeight="1" x14ac:dyDescent="0.2">
      <c r="A38" s="332" t="s">
        <v>256</v>
      </c>
      <c r="B38" s="334"/>
      <c r="C38" s="335"/>
      <c r="D38" s="336"/>
      <c r="E38" s="315" t="s">
        <v>255</v>
      </c>
      <c r="F38" s="315" t="s">
        <v>254</v>
      </c>
      <c r="G38" s="315">
        <v>0.376</v>
      </c>
      <c r="H38" s="315">
        <v>10</v>
      </c>
      <c r="I38" s="313" t="s">
        <v>306</v>
      </c>
      <c r="J38" s="314"/>
      <c r="K38" s="242">
        <f>ROUND(404*Belarus*(1-B61),2)</f>
        <v>404</v>
      </c>
      <c r="L38" s="242">
        <f>ROUND(K38/G38,2)</f>
        <v>1074.47</v>
      </c>
    </row>
    <row r="39" spans="1:12" ht="12.75" customHeight="1" x14ac:dyDescent="0.2">
      <c r="A39" s="333"/>
      <c r="B39" s="337"/>
      <c r="C39" s="338"/>
      <c r="D39" s="339"/>
      <c r="E39" s="316"/>
      <c r="F39" s="316"/>
      <c r="G39" s="316"/>
      <c r="H39" s="316"/>
      <c r="I39" s="313" t="s">
        <v>309</v>
      </c>
      <c r="J39" s="314"/>
      <c r="K39" s="242">
        <f>ROUND(409*Belarus*(1-B61),2)</f>
        <v>409</v>
      </c>
      <c r="L39" s="242">
        <f>ROUND(K39/G38,2)</f>
        <v>1087.77</v>
      </c>
    </row>
    <row r="40" spans="1:12" ht="12.75" customHeight="1" x14ac:dyDescent="0.2">
      <c r="A40" s="330" t="s">
        <v>253</v>
      </c>
      <c r="B40" s="318" t="s">
        <v>252</v>
      </c>
      <c r="C40" s="319"/>
      <c r="D40" s="320"/>
      <c r="E40" s="315" t="s">
        <v>251</v>
      </c>
      <c r="F40" s="315" t="s">
        <v>248</v>
      </c>
      <c r="G40" s="315" t="s">
        <v>106</v>
      </c>
      <c r="H40" s="315">
        <v>12</v>
      </c>
      <c r="I40" s="364" t="s">
        <v>306</v>
      </c>
      <c r="J40" s="365"/>
      <c r="K40" s="243">
        <f>ROUND(376*Belarus*(1-B61),2)</f>
        <v>376</v>
      </c>
      <c r="L40" s="242" t="s">
        <v>106</v>
      </c>
    </row>
    <row r="41" spans="1:12" ht="12.75" customHeight="1" x14ac:dyDescent="0.2">
      <c r="A41" s="330"/>
      <c r="B41" s="321"/>
      <c r="C41" s="322"/>
      <c r="D41" s="323"/>
      <c r="E41" s="316"/>
      <c r="F41" s="316"/>
      <c r="G41" s="316"/>
      <c r="H41" s="316"/>
      <c r="I41" s="364" t="s">
        <v>307</v>
      </c>
      <c r="J41" s="365"/>
      <c r="K41" s="243">
        <f>ROUND(379*Belarus*(1-B61),2)</f>
        <v>379</v>
      </c>
      <c r="L41" s="242" t="s">
        <v>106</v>
      </c>
    </row>
    <row r="42" spans="1:12" ht="12.75" customHeight="1" x14ac:dyDescent="0.2">
      <c r="A42" s="330"/>
      <c r="B42" s="318" t="s">
        <v>250</v>
      </c>
      <c r="C42" s="319"/>
      <c r="D42" s="320"/>
      <c r="E42" s="315" t="s">
        <v>249</v>
      </c>
      <c r="F42" s="315" t="s">
        <v>248</v>
      </c>
      <c r="G42" s="315" t="s">
        <v>106</v>
      </c>
      <c r="H42" s="315">
        <v>12</v>
      </c>
      <c r="I42" s="317" t="s">
        <v>306</v>
      </c>
      <c r="J42" s="317"/>
      <c r="K42" s="243">
        <f>K40</f>
        <v>376</v>
      </c>
      <c r="L42" s="242" t="s">
        <v>106</v>
      </c>
    </row>
    <row r="43" spans="1:12" ht="12.75" customHeight="1" x14ac:dyDescent="0.2">
      <c r="A43" s="330"/>
      <c r="B43" s="321"/>
      <c r="C43" s="322"/>
      <c r="D43" s="323"/>
      <c r="E43" s="316"/>
      <c r="F43" s="316"/>
      <c r="G43" s="316"/>
      <c r="H43" s="316"/>
      <c r="I43" s="317" t="s">
        <v>308</v>
      </c>
      <c r="J43" s="317"/>
      <c r="K43" s="243">
        <f>K41</f>
        <v>379</v>
      </c>
      <c r="L43" s="242" t="s">
        <v>106</v>
      </c>
    </row>
    <row r="44" spans="1:12" ht="12.75" customHeight="1" x14ac:dyDescent="0.2">
      <c r="A44" s="330"/>
      <c r="B44" s="318" t="s">
        <v>247</v>
      </c>
      <c r="C44" s="319"/>
      <c r="D44" s="320"/>
      <c r="E44" s="315" t="s">
        <v>246</v>
      </c>
      <c r="F44" s="315" t="s">
        <v>245</v>
      </c>
      <c r="G44" s="315" t="s">
        <v>106</v>
      </c>
      <c r="H44" s="315">
        <v>12</v>
      </c>
      <c r="I44" s="317" t="s">
        <v>306</v>
      </c>
      <c r="J44" s="317"/>
      <c r="K44" s="243">
        <f>K40</f>
        <v>376</v>
      </c>
      <c r="L44" s="242" t="s">
        <v>106</v>
      </c>
    </row>
    <row r="45" spans="1:12" ht="12.75" customHeight="1" x14ac:dyDescent="0.2">
      <c r="A45" s="330"/>
      <c r="B45" s="321"/>
      <c r="C45" s="322"/>
      <c r="D45" s="323"/>
      <c r="E45" s="316"/>
      <c r="F45" s="316"/>
      <c r="G45" s="316"/>
      <c r="H45" s="316"/>
      <c r="I45" s="317" t="s">
        <v>309</v>
      </c>
      <c r="J45" s="317"/>
      <c r="K45" s="243">
        <f>K41</f>
        <v>379</v>
      </c>
      <c r="L45" s="242" t="s">
        <v>106</v>
      </c>
    </row>
    <row r="46" spans="1:12" x14ac:dyDescent="0.2">
      <c r="A46" s="206"/>
      <c r="B46" s="192"/>
      <c r="C46" s="192"/>
      <c r="D46" s="192"/>
      <c r="E46" s="200"/>
      <c r="F46" s="200"/>
      <c r="G46" s="200"/>
      <c r="H46" s="200"/>
      <c r="I46" s="241"/>
      <c r="J46" s="241"/>
      <c r="K46" s="241"/>
      <c r="L46" s="240"/>
    </row>
    <row r="47" spans="1:12" ht="18.75" thickBot="1" x14ac:dyDescent="0.3">
      <c r="A47" s="346" t="s">
        <v>244</v>
      </c>
      <c r="B47" s="346"/>
      <c r="C47" s="346"/>
      <c r="D47" s="346"/>
      <c r="E47" s="346"/>
      <c r="F47" s="346"/>
      <c r="G47" s="346"/>
      <c r="H47" s="346"/>
      <c r="I47" s="346"/>
      <c r="J47" s="346"/>
      <c r="K47" s="346"/>
      <c r="L47" s="346"/>
    </row>
    <row r="48" spans="1:12" ht="51" x14ac:dyDescent="0.2">
      <c r="A48" s="239" t="s">
        <v>96</v>
      </c>
      <c r="B48" s="239" t="s">
        <v>2</v>
      </c>
      <c r="C48" s="239" t="s">
        <v>137</v>
      </c>
      <c r="D48" s="239" t="s">
        <v>132</v>
      </c>
      <c r="E48" s="239" t="s">
        <v>243</v>
      </c>
      <c r="F48" s="108"/>
      <c r="G48" s="366" t="s">
        <v>96</v>
      </c>
      <c r="H48" s="367"/>
      <c r="I48" s="239" t="s">
        <v>2</v>
      </c>
      <c r="J48" s="239" t="s">
        <v>137</v>
      </c>
      <c r="K48" s="239" t="s">
        <v>132</v>
      </c>
      <c r="L48" s="239" t="s">
        <v>243</v>
      </c>
    </row>
    <row r="49" spans="1:12" ht="12.75" customHeight="1" x14ac:dyDescent="0.2">
      <c r="A49" s="368" t="s">
        <v>242</v>
      </c>
      <c r="B49" s="370">
        <v>3</v>
      </c>
      <c r="C49" s="372">
        <v>10</v>
      </c>
      <c r="D49" s="237" t="s">
        <v>139</v>
      </c>
      <c r="E49" s="263">
        <f>ROUND(611*Belarus*(1-B63),2)</f>
        <v>611</v>
      </c>
      <c r="F49" s="108"/>
      <c r="G49" s="330" t="s">
        <v>241</v>
      </c>
      <c r="H49" s="330"/>
      <c r="I49" s="374">
        <v>3</v>
      </c>
      <c r="J49" s="331">
        <v>45</v>
      </c>
      <c r="K49" s="330" t="s">
        <v>240</v>
      </c>
      <c r="L49" s="375">
        <f>ROUND(149*Belarus*(1-B63),2)</f>
        <v>149</v>
      </c>
    </row>
    <row r="50" spans="1:12" ht="25.5" x14ac:dyDescent="0.2">
      <c r="A50" s="369"/>
      <c r="B50" s="371"/>
      <c r="C50" s="373"/>
      <c r="D50" s="237" t="s">
        <v>238</v>
      </c>
      <c r="E50" s="263">
        <f>ROUND(1071*Belarus*(1-B63),2)</f>
        <v>1071</v>
      </c>
      <c r="F50" s="108"/>
      <c r="G50" s="330"/>
      <c r="H50" s="330"/>
      <c r="I50" s="374"/>
      <c r="J50" s="331"/>
      <c r="K50" s="330"/>
      <c r="L50" s="375"/>
    </row>
    <row r="51" spans="1:12" x14ac:dyDescent="0.2">
      <c r="A51" s="368" t="s">
        <v>18</v>
      </c>
      <c r="B51" s="370">
        <v>3</v>
      </c>
      <c r="C51" s="372">
        <v>50</v>
      </c>
      <c r="D51" s="237" t="s">
        <v>139</v>
      </c>
      <c r="E51" s="263">
        <f>ROUND(199*Belarus*(1-B63),2)</f>
        <v>199</v>
      </c>
      <c r="F51" s="108"/>
      <c r="G51" s="330"/>
      <c r="H51" s="330"/>
      <c r="I51" s="374"/>
      <c r="J51" s="331"/>
      <c r="K51" s="330"/>
      <c r="L51" s="375"/>
    </row>
    <row r="52" spans="1:12" ht="25.5" x14ac:dyDescent="0.2">
      <c r="A52" s="369"/>
      <c r="B52" s="371"/>
      <c r="C52" s="373"/>
      <c r="D52" s="237" t="s">
        <v>238</v>
      </c>
      <c r="E52" s="263">
        <f>ROUND(201*Belarus*(1-B63),2)</f>
        <v>201</v>
      </c>
      <c r="F52" s="108"/>
      <c r="G52" s="330"/>
      <c r="H52" s="330"/>
      <c r="I52" s="374"/>
      <c r="J52" s="331"/>
      <c r="K52" s="236" t="s">
        <v>135</v>
      </c>
      <c r="L52" s="263">
        <f>ROUND(206*Belarus*(1-B63),2)</f>
        <v>206</v>
      </c>
    </row>
    <row r="53" spans="1:12" x14ac:dyDescent="0.2">
      <c r="A53" s="238" t="s">
        <v>239</v>
      </c>
      <c r="B53" s="234">
        <v>3</v>
      </c>
      <c r="C53" s="233">
        <v>68</v>
      </c>
      <c r="D53" s="237" t="s">
        <v>139</v>
      </c>
      <c r="E53" s="263">
        <f>ROUND(188*Belarus*(1-B63),2)</f>
        <v>188</v>
      </c>
      <c r="F53" s="108"/>
      <c r="G53" s="330"/>
      <c r="H53" s="330"/>
      <c r="I53" s="374"/>
      <c r="J53" s="331"/>
      <c r="K53" s="236" t="s">
        <v>238</v>
      </c>
      <c r="L53" s="263">
        <f>ROUND(295*Belarus*(1-B63),2)</f>
        <v>295</v>
      </c>
    </row>
    <row r="54" spans="1:12" x14ac:dyDescent="0.2">
      <c r="A54" s="235" t="s">
        <v>237</v>
      </c>
      <c r="B54" s="234">
        <v>2</v>
      </c>
      <c r="C54" s="233">
        <v>20</v>
      </c>
      <c r="D54" s="232" t="s">
        <v>106</v>
      </c>
      <c r="E54" s="263">
        <f>ROUND(188*Belarus*(1-B63),2)</f>
        <v>188</v>
      </c>
      <c r="F54" s="108"/>
      <c r="G54" s="196"/>
      <c r="H54" s="196"/>
      <c r="I54" s="196"/>
      <c r="J54" s="196"/>
      <c r="K54" s="196"/>
      <c r="L54" s="196"/>
    </row>
  </sheetData>
  <sheetProtection password="CC3B" sheet="1" objects="1" scenarios="1" selectLockedCells="1" selectUnlockedCells="1"/>
  <mergeCells count="104">
    <mergeCell ref="A47:L47"/>
    <mergeCell ref="G48:H48"/>
    <mergeCell ref="A49:A50"/>
    <mergeCell ref="B49:B50"/>
    <mergeCell ref="C49:C50"/>
    <mergeCell ref="G49:H53"/>
    <mergeCell ref="I49:I53"/>
    <mergeCell ref="J49:J53"/>
    <mergeCell ref="K49:K51"/>
    <mergeCell ref="L49:L51"/>
    <mergeCell ref="A51:A52"/>
    <mergeCell ref="B51:B52"/>
    <mergeCell ref="C51:C52"/>
    <mergeCell ref="F44:F45"/>
    <mergeCell ref="G44:G45"/>
    <mergeCell ref="H44:H45"/>
    <mergeCell ref="I44:J44"/>
    <mergeCell ref="I45:J45"/>
    <mergeCell ref="H38:H39"/>
    <mergeCell ref="I39:J39"/>
    <mergeCell ref="A40:A45"/>
    <mergeCell ref="B40:D41"/>
    <mergeCell ref="E40:E41"/>
    <mergeCell ref="F40:F41"/>
    <mergeCell ref="G40:G41"/>
    <mergeCell ref="H40:H41"/>
    <mergeCell ref="I40:J40"/>
    <mergeCell ref="I41:J41"/>
    <mergeCell ref="B42:D43"/>
    <mergeCell ref="E42:E43"/>
    <mergeCell ref="F42:F43"/>
    <mergeCell ref="G42:G43"/>
    <mergeCell ref="H42:H43"/>
    <mergeCell ref="I42:J42"/>
    <mergeCell ref="A38:A39"/>
    <mergeCell ref="B38:D39"/>
    <mergeCell ref="E38:E39"/>
    <mergeCell ref="F38:F39"/>
    <mergeCell ref="G38:G39"/>
    <mergeCell ref="A36:A37"/>
    <mergeCell ref="B36:D37"/>
    <mergeCell ref="E36:E37"/>
    <mergeCell ref="F36:F37"/>
    <mergeCell ref="G36:G37"/>
    <mergeCell ref="K28:L28"/>
    <mergeCell ref="A29:C29"/>
    <mergeCell ref="K29:L29"/>
    <mergeCell ref="A31:L31"/>
    <mergeCell ref="A33:D33"/>
    <mergeCell ref="A28:C28"/>
    <mergeCell ref="I38:J38"/>
    <mergeCell ref="I33:J33"/>
    <mergeCell ref="I34:J34"/>
    <mergeCell ref="A34:A35"/>
    <mergeCell ref="B34:D35"/>
    <mergeCell ref="E34:E35"/>
    <mergeCell ref="F34:F35"/>
    <mergeCell ref="G34:G35"/>
    <mergeCell ref="H34:H35"/>
    <mergeCell ref="I35:J35"/>
    <mergeCell ref="I36:J36"/>
    <mergeCell ref="K27:L27"/>
    <mergeCell ref="A20:L20"/>
    <mergeCell ref="A22:C24"/>
    <mergeCell ref="D22:D24"/>
    <mergeCell ref="E22:E24"/>
    <mergeCell ref="F22:L22"/>
    <mergeCell ref="F23:J23"/>
    <mergeCell ref="K23:L23"/>
    <mergeCell ref="K24:L24"/>
    <mergeCell ref="A25:C25"/>
    <mergeCell ref="A6:C6"/>
    <mergeCell ref="A8:L8"/>
    <mergeCell ref="A10:D10"/>
    <mergeCell ref="I10:J10"/>
    <mergeCell ref="A11:A12"/>
    <mergeCell ref="B11:D12"/>
    <mergeCell ref="I11:J11"/>
    <mergeCell ref="I12:J12"/>
    <mergeCell ref="I13:J13"/>
    <mergeCell ref="I37:J37"/>
    <mergeCell ref="H36:H37"/>
    <mergeCell ref="I43:J43"/>
    <mergeCell ref="B44:D45"/>
    <mergeCell ref="E44:E45"/>
    <mergeCell ref="B15:D15"/>
    <mergeCell ref="I15:J15"/>
    <mergeCell ref="H13:H14"/>
    <mergeCell ref="I16:J16"/>
    <mergeCell ref="B16:D16"/>
    <mergeCell ref="A17:D17"/>
    <mergeCell ref="E17:G17"/>
    <mergeCell ref="I17:J17"/>
    <mergeCell ref="A18:L18"/>
    <mergeCell ref="A13:A14"/>
    <mergeCell ref="B13:D14"/>
    <mergeCell ref="E13:E14"/>
    <mergeCell ref="F13:F14"/>
    <mergeCell ref="G13:G14"/>
    <mergeCell ref="I14:J14"/>
    <mergeCell ref="K25:L25"/>
    <mergeCell ref="A26:C26"/>
    <mergeCell ref="K26:L26"/>
    <mergeCell ref="A27:C27"/>
  </mergeCells>
  <pageMargins left="0.70866141732283472" right="0.70866141732283472" top="0.74803149606299213" bottom="0.74803149606299213" header="0.31496062992125984" footer="0.31496062992125984"/>
  <pageSetup paperSize="9" scale="5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F80"/>
  <sheetViews>
    <sheetView topLeftCell="A19" zoomScale="68" zoomScaleNormal="68" workbookViewId="0">
      <selection activeCell="Q57" sqref="Q57"/>
    </sheetView>
  </sheetViews>
  <sheetFormatPr defaultRowHeight="12.75" x14ac:dyDescent="0.2"/>
  <cols>
    <col min="1" max="1" width="38" customWidth="1"/>
  </cols>
  <sheetData>
    <row r="1" spans="1:32" ht="15.75" x14ac:dyDescent="0.25">
      <c r="R1" s="113" t="s">
        <v>145</v>
      </c>
      <c r="S1" s="113"/>
      <c r="T1" s="113"/>
    </row>
    <row r="2" spans="1:32" ht="15.75" x14ac:dyDescent="0.25">
      <c r="R2" s="114" t="s">
        <v>87</v>
      </c>
      <c r="S2" s="114"/>
      <c r="T2" s="114"/>
    </row>
    <row r="3" spans="1:32" ht="15.75" x14ac:dyDescent="0.25">
      <c r="R3" s="114" t="s">
        <v>88</v>
      </c>
      <c r="S3" s="114"/>
      <c r="T3" s="114"/>
    </row>
    <row r="4" spans="1:32" ht="15.75" x14ac:dyDescent="0.25">
      <c r="R4" s="115" t="s">
        <v>89</v>
      </c>
      <c r="S4" s="115"/>
      <c r="T4" s="115"/>
    </row>
    <row r="5" spans="1:32" ht="15.75" x14ac:dyDescent="0.25">
      <c r="R5" s="114" t="s">
        <v>91</v>
      </c>
      <c r="S5" s="114"/>
      <c r="T5" s="114"/>
    </row>
    <row r="6" spans="1:32" ht="15.75" x14ac:dyDescent="0.25">
      <c r="A6" s="345" t="s">
        <v>92</v>
      </c>
      <c r="B6" s="345"/>
      <c r="C6" s="345"/>
    </row>
    <row r="7" spans="1:32" ht="18.75" thickBot="1" x14ac:dyDescent="0.3">
      <c r="A7" s="346" t="s">
        <v>236</v>
      </c>
      <c r="B7" s="346"/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230"/>
      <c r="W7" s="230"/>
      <c r="X7" s="230"/>
      <c r="Y7" s="229" t="s">
        <v>235</v>
      </c>
      <c r="Z7" s="376">
        <v>43466</v>
      </c>
      <c r="AA7" s="376"/>
      <c r="AB7" s="219"/>
      <c r="AC7" s="219"/>
    </row>
    <row r="8" spans="1:32" x14ac:dyDescent="0.2">
      <c r="A8" s="216"/>
      <c r="B8" s="108"/>
      <c r="C8" s="108"/>
      <c r="D8" s="108"/>
      <c r="E8" s="108"/>
      <c r="F8" s="108"/>
      <c r="G8" s="218"/>
      <c r="H8" s="218"/>
      <c r="I8" s="218"/>
      <c r="J8" s="218"/>
      <c r="K8" s="218"/>
      <c r="L8" s="218"/>
      <c r="M8" s="218"/>
      <c r="N8" s="218"/>
      <c r="O8" s="218"/>
      <c r="P8" s="108"/>
      <c r="Q8" s="108"/>
      <c r="R8" s="108"/>
      <c r="S8" s="108"/>
      <c r="T8" s="108"/>
      <c r="U8" s="108"/>
      <c r="V8" s="228"/>
      <c r="W8" s="228"/>
      <c r="X8" s="228"/>
      <c r="Y8" s="216" t="s">
        <v>189</v>
      </c>
      <c r="Z8" s="377">
        <v>43466</v>
      </c>
      <c r="AA8" s="377"/>
      <c r="AB8" s="227"/>
      <c r="AC8" s="227"/>
    </row>
    <row r="9" spans="1:32" ht="12.75" customHeight="1" x14ac:dyDescent="0.2">
      <c r="A9" s="378" t="s">
        <v>222</v>
      </c>
      <c r="B9" s="378"/>
      <c r="C9" s="378"/>
      <c r="D9" s="378"/>
      <c r="E9" s="378"/>
      <c r="F9" s="378"/>
      <c r="G9" s="361" t="s">
        <v>221</v>
      </c>
      <c r="H9" s="361"/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215"/>
      <c r="AC9" s="215"/>
      <c r="AD9" s="215"/>
      <c r="AE9" s="215"/>
      <c r="AF9" s="215"/>
    </row>
    <row r="10" spans="1:32" ht="12.75" customHeight="1" x14ac:dyDescent="0.2">
      <c r="A10" s="378"/>
      <c r="B10" s="378"/>
      <c r="C10" s="378"/>
      <c r="D10" s="378"/>
      <c r="E10" s="378"/>
      <c r="F10" s="378"/>
      <c r="G10" s="361" t="s">
        <v>220</v>
      </c>
      <c r="H10" s="361"/>
      <c r="I10" s="361"/>
      <c r="J10" s="361"/>
      <c r="K10" s="361"/>
      <c r="L10" s="361"/>
      <c r="M10" s="361"/>
      <c r="N10" s="361"/>
      <c r="O10" s="361"/>
      <c r="P10" s="361"/>
      <c r="Q10" s="361"/>
      <c r="R10" s="361"/>
      <c r="S10" s="361"/>
      <c r="T10" s="361" t="s">
        <v>138</v>
      </c>
      <c r="U10" s="361"/>
      <c r="V10" s="361" t="s">
        <v>219</v>
      </c>
      <c r="W10" s="379"/>
      <c r="X10" s="379"/>
      <c r="Y10" s="379"/>
      <c r="Z10" s="379"/>
      <c r="AA10" s="379"/>
      <c r="AB10" s="215"/>
      <c r="AC10" s="197"/>
      <c r="AD10" s="197"/>
      <c r="AE10" s="197"/>
      <c r="AF10" s="197"/>
    </row>
    <row r="11" spans="1:32" ht="12.75" customHeight="1" x14ac:dyDescent="0.2">
      <c r="A11" s="378"/>
      <c r="B11" s="378"/>
      <c r="C11" s="378"/>
      <c r="D11" s="378"/>
      <c r="E11" s="378"/>
      <c r="F11" s="378"/>
      <c r="G11" s="361" t="s">
        <v>218</v>
      </c>
      <c r="H11" s="361"/>
      <c r="I11" s="361"/>
      <c r="J11" s="361"/>
      <c r="K11" s="361"/>
      <c r="L11" s="361"/>
      <c r="M11" s="361"/>
      <c r="N11" s="361"/>
      <c r="O11" s="361"/>
      <c r="P11" s="361" t="s">
        <v>217</v>
      </c>
      <c r="Q11" s="361"/>
      <c r="R11" s="361"/>
      <c r="S11" s="361" t="s">
        <v>144</v>
      </c>
      <c r="T11" s="361"/>
      <c r="U11" s="361"/>
      <c r="V11" s="379"/>
      <c r="W11" s="379"/>
      <c r="X11" s="379"/>
      <c r="Y11" s="379"/>
      <c r="Z11" s="379"/>
      <c r="AA11" s="379"/>
      <c r="AB11" s="197"/>
      <c r="AC11" s="197"/>
      <c r="AD11" s="197"/>
      <c r="AE11" s="197"/>
      <c r="AF11" s="197"/>
    </row>
    <row r="12" spans="1:32" ht="51" x14ac:dyDescent="0.2">
      <c r="A12" s="261" t="s">
        <v>96</v>
      </c>
      <c r="B12" s="261" t="s">
        <v>2</v>
      </c>
      <c r="C12" s="261" t="s">
        <v>216</v>
      </c>
      <c r="D12" s="261" t="s">
        <v>215</v>
      </c>
      <c r="E12" s="261" t="s">
        <v>137</v>
      </c>
      <c r="F12" s="261" t="s">
        <v>214</v>
      </c>
      <c r="G12" s="261" t="s">
        <v>139</v>
      </c>
      <c r="H12" s="261" t="s">
        <v>140</v>
      </c>
      <c r="I12" s="261" t="s">
        <v>141</v>
      </c>
      <c r="J12" s="261" t="s">
        <v>213</v>
      </c>
      <c r="K12" s="261" t="s">
        <v>212</v>
      </c>
      <c r="L12" s="261" t="s">
        <v>211</v>
      </c>
      <c r="M12" s="261" t="s">
        <v>210</v>
      </c>
      <c r="N12" s="261" t="s">
        <v>107</v>
      </c>
      <c r="O12" s="261" t="s">
        <v>209</v>
      </c>
      <c r="P12" s="261" t="s">
        <v>135</v>
      </c>
      <c r="Q12" s="261" t="s">
        <v>208</v>
      </c>
      <c r="R12" s="261" t="s">
        <v>207</v>
      </c>
      <c r="S12" s="361"/>
      <c r="T12" s="261" t="s">
        <v>136</v>
      </c>
      <c r="U12" s="262" t="s">
        <v>234</v>
      </c>
      <c r="V12" s="261" t="s">
        <v>205</v>
      </c>
      <c r="W12" s="261" t="s">
        <v>204</v>
      </c>
      <c r="X12" s="261" t="s">
        <v>203</v>
      </c>
      <c r="Y12" s="261" t="s">
        <v>233</v>
      </c>
      <c r="Z12" s="261" t="s">
        <v>232</v>
      </c>
      <c r="AA12" s="261" t="s">
        <v>200</v>
      </c>
      <c r="AB12" s="214"/>
      <c r="AC12" s="214"/>
      <c r="AD12" s="214"/>
      <c r="AE12" s="214"/>
      <c r="AF12" s="214"/>
    </row>
    <row r="13" spans="1:32" ht="15" x14ac:dyDescent="0.2">
      <c r="A13" s="380" t="s">
        <v>231</v>
      </c>
      <c r="B13" s="380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380"/>
      <c r="O13" s="380"/>
      <c r="P13" s="380"/>
      <c r="Q13" s="380"/>
      <c r="R13" s="380"/>
      <c r="S13" s="380"/>
      <c r="T13" s="380"/>
      <c r="U13" s="380"/>
      <c r="V13" s="380"/>
      <c r="W13" s="380"/>
      <c r="X13" s="380"/>
      <c r="Y13" s="380"/>
      <c r="Z13" s="380"/>
      <c r="AA13" s="380"/>
      <c r="AB13" s="213"/>
      <c r="AC13" s="213"/>
      <c r="AD13" s="213"/>
      <c r="AE13" s="213"/>
      <c r="AF13" s="213"/>
    </row>
    <row r="14" spans="1:32" ht="12.75" customHeight="1" x14ac:dyDescent="0.2">
      <c r="A14" s="381" t="s">
        <v>230</v>
      </c>
      <c r="B14" s="382">
        <v>3.6</v>
      </c>
      <c r="C14" s="383">
        <v>0.224</v>
      </c>
      <c r="D14" s="384">
        <v>0.80640000000000001</v>
      </c>
      <c r="E14" s="385">
        <v>22</v>
      </c>
      <c r="F14" s="208" t="s">
        <v>99</v>
      </c>
      <c r="G14" s="225">
        <f>ROUND(202*Belarus*(1-C87),2)</f>
        <v>202</v>
      </c>
      <c r="H14" s="225">
        <f>G14</f>
        <v>202</v>
      </c>
      <c r="I14" s="225">
        <f>G14</f>
        <v>202</v>
      </c>
      <c r="J14" s="225">
        <f>G14</f>
        <v>202</v>
      </c>
      <c r="K14" s="225">
        <f>G14</f>
        <v>202</v>
      </c>
      <c r="L14" s="225">
        <f>G14</f>
        <v>202</v>
      </c>
      <c r="M14" s="225">
        <f>G14</f>
        <v>202</v>
      </c>
      <c r="N14" s="225">
        <f>G14</f>
        <v>202</v>
      </c>
      <c r="O14" s="225">
        <f>G14</f>
        <v>202</v>
      </c>
      <c r="P14" s="225">
        <f>ROUND(243*Belarus*(1-C87),2)</f>
        <v>243</v>
      </c>
      <c r="Q14" s="225">
        <f>P14</f>
        <v>243</v>
      </c>
      <c r="R14" s="225">
        <f>G14</f>
        <v>202</v>
      </c>
      <c r="S14" s="224" t="s">
        <v>106</v>
      </c>
      <c r="T14" s="226">
        <f>ROUND(250*Belarus*(1-D87),2)</f>
        <v>250</v>
      </c>
      <c r="U14" s="226" t="s">
        <v>106</v>
      </c>
      <c r="V14" s="225">
        <f>ROUND(308*Belarus*(1-E87),2)</f>
        <v>308</v>
      </c>
      <c r="W14" s="225">
        <f>V14</f>
        <v>308</v>
      </c>
      <c r="X14" s="225">
        <f>V14</f>
        <v>308</v>
      </c>
      <c r="Y14" s="225">
        <f>V14</f>
        <v>308</v>
      </c>
      <c r="Z14" s="225">
        <f>V14</f>
        <v>308</v>
      </c>
      <c r="AA14" s="225" t="s">
        <v>106</v>
      </c>
      <c r="AB14" s="223"/>
      <c r="AC14" s="223"/>
      <c r="AD14" s="223"/>
      <c r="AE14" s="223"/>
      <c r="AF14" s="223"/>
    </row>
    <row r="15" spans="1:32" ht="12.75" customHeight="1" x14ac:dyDescent="0.2">
      <c r="A15" s="381"/>
      <c r="B15" s="382"/>
      <c r="C15" s="383"/>
      <c r="D15" s="384"/>
      <c r="E15" s="385"/>
      <c r="F15" s="208" t="s">
        <v>224</v>
      </c>
      <c r="G15" s="225">
        <f>G14/0.8064</f>
        <v>250.49603174603175</v>
      </c>
      <c r="H15" s="225">
        <f t="shared" ref="H15:N15" si="0">H14/0.8064</f>
        <v>250.49603174603175</v>
      </c>
      <c r="I15" s="225">
        <f t="shared" si="0"/>
        <v>250.49603174603175</v>
      </c>
      <c r="J15" s="225">
        <f t="shared" si="0"/>
        <v>250.49603174603175</v>
      </c>
      <c r="K15" s="225">
        <f t="shared" si="0"/>
        <v>250.49603174603175</v>
      </c>
      <c r="L15" s="225">
        <f t="shared" si="0"/>
        <v>250.49603174603175</v>
      </c>
      <c r="M15" s="225">
        <f t="shared" si="0"/>
        <v>250.49603174603175</v>
      </c>
      <c r="N15" s="225">
        <f t="shared" si="0"/>
        <v>250.49603174603175</v>
      </c>
      <c r="O15" s="225">
        <f>O14/0.8064</f>
        <v>250.49603174603175</v>
      </c>
      <c r="P15" s="225">
        <f>P14/0.8064</f>
        <v>301.33928571428572</v>
      </c>
      <c r="Q15" s="225">
        <f>Q14/0.8064</f>
        <v>301.33928571428572</v>
      </c>
      <c r="R15" s="225">
        <f>R14/0.8064</f>
        <v>250.49603174603175</v>
      </c>
      <c r="S15" s="224" t="s">
        <v>106</v>
      </c>
      <c r="T15" s="226">
        <f t="shared" ref="T15:Z15" si="1">T14/0.8064</f>
        <v>310.01984126984127</v>
      </c>
      <c r="U15" s="226" t="s">
        <v>106</v>
      </c>
      <c r="V15" s="225">
        <f t="shared" si="1"/>
        <v>381.94444444444446</v>
      </c>
      <c r="W15" s="225">
        <f t="shared" si="1"/>
        <v>381.94444444444446</v>
      </c>
      <c r="X15" s="225">
        <f t="shared" si="1"/>
        <v>381.94444444444446</v>
      </c>
      <c r="Y15" s="225">
        <f t="shared" si="1"/>
        <v>381.94444444444446</v>
      </c>
      <c r="Z15" s="225">
        <f t="shared" si="1"/>
        <v>381.94444444444446</v>
      </c>
      <c r="AA15" s="225" t="s">
        <v>106</v>
      </c>
      <c r="AB15" s="223"/>
      <c r="AC15" s="223"/>
      <c r="AD15" s="223"/>
      <c r="AE15" s="223"/>
      <c r="AF15" s="223"/>
    </row>
    <row r="16" spans="1:32" ht="12.75" customHeight="1" x14ac:dyDescent="0.2">
      <c r="A16" s="381" t="s">
        <v>229</v>
      </c>
      <c r="B16" s="382">
        <v>3</v>
      </c>
      <c r="C16" s="383">
        <v>0.20300000000000001</v>
      </c>
      <c r="D16" s="384">
        <v>0.60899999999999999</v>
      </c>
      <c r="E16" s="385">
        <v>22</v>
      </c>
      <c r="F16" s="208" t="s">
        <v>99</v>
      </c>
      <c r="G16" s="225">
        <f>ROUND(152*Belarus*(1-C88),2)</f>
        <v>152</v>
      </c>
      <c r="H16" s="225">
        <f>G16</f>
        <v>152</v>
      </c>
      <c r="I16" s="225">
        <f>G16</f>
        <v>152</v>
      </c>
      <c r="J16" s="225">
        <f>G16</f>
        <v>152</v>
      </c>
      <c r="K16" s="225" t="str">
        <f>G16&amp;" (1)"</f>
        <v>152 (1)</v>
      </c>
      <c r="L16" s="225">
        <f>G16</f>
        <v>152</v>
      </c>
      <c r="M16" s="225">
        <f>G16</f>
        <v>152</v>
      </c>
      <c r="N16" s="225">
        <f>G16</f>
        <v>152</v>
      </c>
      <c r="O16" s="225">
        <f>G16</f>
        <v>152</v>
      </c>
      <c r="P16" s="225" t="str">
        <f>ROUND(182*Belarus*(1-C88),2)&amp;" (1)"</f>
        <v>182 (1)</v>
      </c>
      <c r="Q16" s="225" t="str">
        <f>P16</f>
        <v>182 (1)</v>
      </c>
      <c r="R16" s="225">
        <f>G16</f>
        <v>152</v>
      </c>
      <c r="S16" s="224" t="s">
        <v>106</v>
      </c>
      <c r="T16" s="226">
        <f>ROUND(191*Belarus*(1-D88),2)</f>
        <v>191</v>
      </c>
      <c r="U16" s="226" t="s">
        <v>106</v>
      </c>
      <c r="V16" s="225">
        <f>ROUND(236*Belarus*(1-E88),2)</f>
        <v>236</v>
      </c>
      <c r="W16" s="225">
        <f>V16</f>
        <v>236</v>
      </c>
      <c r="X16" s="225">
        <f>V16</f>
        <v>236</v>
      </c>
      <c r="Y16" s="225" t="s">
        <v>106</v>
      </c>
      <c r="Z16" s="225" t="s">
        <v>106</v>
      </c>
      <c r="AA16" s="225">
        <f>ROUND(171*Belarus*(1-E88),2)</f>
        <v>171</v>
      </c>
      <c r="AB16" s="223"/>
      <c r="AC16" s="223"/>
      <c r="AD16" s="223"/>
      <c r="AE16" s="223"/>
      <c r="AF16" s="223"/>
    </row>
    <row r="17" spans="1:32" ht="24.75" customHeight="1" x14ac:dyDescent="0.2">
      <c r="A17" s="381"/>
      <c r="B17" s="386"/>
      <c r="C17" s="383"/>
      <c r="D17" s="384"/>
      <c r="E17" s="385"/>
      <c r="F17" s="208" t="s">
        <v>224</v>
      </c>
      <c r="G17" s="225">
        <f>G16/0.609</f>
        <v>249.58949096880133</v>
      </c>
      <c r="H17" s="225">
        <f t="shared" ref="H17:O17" si="2">H16/0.609</f>
        <v>249.58949096880133</v>
      </c>
      <c r="I17" s="225">
        <f>I16/0.609</f>
        <v>249.58949096880133</v>
      </c>
      <c r="J17" s="225">
        <f t="shared" si="2"/>
        <v>249.58949096880133</v>
      </c>
      <c r="K17" s="225" t="str">
        <f>ROUND(VALUE((LEFT(K16,3)))/0.609,2)&amp;" (1)"</f>
        <v>249,59 (1)</v>
      </c>
      <c r="L17" s="225">
        <f t="shared" si="2"/>
        <v>249.58949096880133</v>
      </c>
      <c r="M17" s="225">
        <f t="shared" si="2"/>
        <v>249.58949096880133</v>
      </c>
      <c r="N17" s="225">
        <f t="shared" si="2"/>
        <v>249.58949096880133</v>
      </c>
      <c r="O17" s="225">
        <f t="shared" si="2"/>
        <v>249.58949096880133</v>
      </c>
      <c r="P17" s="225" t="str">
        <f>ROUND(VALUE((LEFT(P16,3)))/0.609,2)&amp;" (1)"</f>
        <v>298,85 (1)</v>
      </c>
      <c r="Q17" s="225" t="str">
        <f>ROUND(VALUE((LEFT(Q16,3)))/0.609,2)&amp;" (1)"</f>
        <v>298,85 (1)</v>
      </c>
      <c r="R17" s="225">
        <f>R16/0.609</f>
        <v>249.58949096880133</v>
      </c>
      <c r="S17" s="224" t="s">
        <v>106</v>
      </c>
      <c r="T17" s="226">
        <f t="shared" ref="T17:AA17" si="3">T16/0.609</f>
        <v>313.6288998357964</v>
      </c>
      <c r="U17" s="226" t="s">
        <v>106</v>
      </c>
      <c r="V17" s="225">
        <f t="shared" si="3"/>
        <v>387.52052545155993</v>
      </c>
      <c r="W17" s="225">
        <f t="shared" si="3"/>
        <v>387.52052545155993</v>
      </c>
      <c r="X17" s="225">
        <f t="shared" si="3"/>
        <v>387.52052545155993</v>
      </c>
      <c r="Y17" s="225" t="s">
        <v>106</v>
      </c>
      <c r="Z17" s="225" t="s">
        <v>106</v>
      </c>
      <c r="AA17" s="225">
        <f t="shared" si="3"/>
        <v>280.78817733990149</v>
      </c>
      <c r="AB17" s="223"/>
      <c r="AC17" s="223"/>
      <c r="AD17" s="223"/>
      <c r="AE17" s="223"/>
      <c r="AF17" s="223"/>
    </row>
    <row r="18" spans="1:32" ht="12.75" customHeight="1" x14ac:dyDescent="0.2">
      <c r="A18" s="387" t="s">
        <v>228</v>
      </c>
      <c r="B18" s="382">
        <v>3</v>
      </c>
      <c r="C18" s="383">
        <v>0.186</v>
      </c>
      <c r="D18" s="384">
        <v>0.56000000000000005</v>
      </c>
      <c r="E18" s="385">
        <v>22</v>
      </c>
      <c r="F18" s="208" t="s">
        <v>99</v>
      </c>
      <c r="G18" s="225">
        <f>ROUND(141*Belarus*(1-C89),2)</f>
        <v>141</v>
      </c>
      <c r="H18" s="225">
        <f>G18</f>
        <v>141</v>
      </c>
      <c r="I18" s="225">
        <f>G18</f>
        <v>141</v>
      </c>
      <c r="J18" s="225" t="str">
        <f>G18&amp;" (1)"</f>
        <v>141 (1)</v>
      </c>
      <c r="K18" s="225" t="s">
        <v>106</v>
      </c>
      <c r="L18" s="225" t="s">
        <v>106</v>
      </c>
      <c r="M18" s="225" t="s">
        <v>106</v>
      </c>
      <c r="N18" s="225" t="s">
        <v>106</v>
      </c>
      <c r="O18" s="225" t="str">
        <f>G18&amp;" (1)"</f>
        <v>141 (1)</v>
      </c>
      <c r="P18" s="225" t="s">
        <v>106</v>
      </c>
      <c r="Q18" s="225" t="s">
        <v>106</v>
      </c>
      <c r="R18" s="225" t="s">
        <v>106</v>
      </c>
      <c r="S18" s="224" t="s">
        <v>106</v>
      </c>
      <c r="T18" s="226" t="s">
        <v>106</v>
      </c>
      <c r="U18" s="226" t="s">
        <v>106</v>
      </c>
      <c r="V18" s="225" t="s">
        <v>106</v>
      </c>
      <c r="W18" s="225" t="s">
        <v>106</v>
      </c>
      <c r="X18" s="225" t="s">
        <v>106</v>
      </c>
      <c r="Y18" s="225" t="s">
        <v>106</v>
      </c>
      <c r="Z18" s="225" t="s">
        <v>106</v>
      </c>
      <c r="AA18" s="225" t="s">
        <v>106</v>
      </c>
      <c r="AB18" s="193"/>
      <c r="AC18" s="193"/>
      <c r="AD18" s="193"/>
      <c r="AE18" s="193"/>
      <c r="AF18" s="193"/>
    </row>
    <row r="19" spans="1:32" ht="25.5" x14ac:dyDescent="0.2">
      <c r="A19" s="387"/>
      <c r="B19" s="386"/>
      <c r="C19" s="383"/>
      <c r="D19" s="384"/>
      <c r="E19" s="385"/>
      <c r="F19" s="208" t="s">
        <v>224</v>
      </c>
      <c r="G19" s="225">
        <f>G18/0.56</f>
        <v>251.78571428571425</v>
      </c>
      <c r="H19" s="225">
        <f>H18/0.56</f>
        <v>251.78571428571425</v>
      </c>
      <c r="I19" s="225">
        <f>I18/0.56</f>
        <v>251.78571428571425</v>
      </c>
      <c r="J19" s="225" t="str">
        <f>ROUND(VALUE((LEFT(J18,3)))/0.56,2)&amp;" (1)"</f>
        <v>251,79 (1)</v>
      </c>
      <c r="K19" s="225" t="s">
        <v>106</v>
      </c>
      <c r="L19" s="225" t="s">
        <v>106</v>
      </c>
      <c r="M19" s="225" t="s">
        <v>106</v>
      </c>
      <c r="N19" s="225" t="s">
        <v>106</v>
      </c>
      <c r="O19" s="225" t="str">
        <f>ROUND(VALUE((LEFT(O18,3)))/0.56,2)&amp;" (1)"</f>
        <v>251,79 (1)</v>
      </c>
      <c r="P19" s="225" t="s">
        <v>106</v>
      </c>
      <c r="Q19" s="225" t="s">
        <v>106</v>
      </c>
      <c r="R19" s="225" t="s">
        <v>106</v>
      </c>
      <c r="S19" s="224" t="s">
        <v>106</v>
      </c>
      <c r="T19" s="226" t="s">
        <v>106</v>
      </c>
      <c r="U19" s="226" t="s">
        <v>106</v>
      </c>
      <c r="V19" s="225" t="s">
        <v>106</v>
      </c>
      <c r="W19" s="225" t="s">
        <v>106</v>
      </c>
      <c r="X19" s="225" t="s">
        <v>106</v>
      </c>
      <c r="Y19" s="225" t="s">
        <v>106</v>
      </c>
      <c r="Z19" s="225" t="s">
        <v>106</v>
      </c>
      <c r="AA19" s="225" t="s">
        <v>106</v>
      </c>
      <c r="AB19" s="193"/>
      <c r="AC19" s="193"/>
      <c r="AD19" s="193"/>
      <c r="AE19" s="193"/>
      <c r="AF19" s="193"/>
    </row>
    <row r="20" spans="1:32" ht="12.75" customHeight="1" x14ac:dyDescent="0.2">
      <c r="A20" s="381" t="s">
        <v>227</v>
      </c>
      <c r="B20" s="382">
        <v>3</v>
      </c>
      <c r="C20" s="383">
        <v>0.24399999999999999</v>
      </c>
      <c r="D20" s="384">
        <v>0.73199999999999998</v>
      </c>
      <c r="E20" s="385">
        <v>22</v>
      </c>
      <c r="F20" s="208" t="s">
        <v>99</v>
      </c>
      <c r="G20" s="225" t="s">
        <v>106</v>
      </c>
      <c r="H20" s="225">
        <f>ROUND(218*Belarus*(1-C90),2)</f>
        <v>218</v>
      </c>
      <c r="I20" s="225">
        <f>H20</f>
        <v>218</v>
      </c>
      <c r="J20" s="225" t="s">
        <v>106</v>
      </c>
      <c r="K20" s="225" t="s">
        <v>106</v>
      </c>
      <c r="L20" s="225" t="s">
        <v>106</v>
      </c>
      <c r="M20" s="225" t="s">
        <v>106</v>
      </c>
      <c r="N20" s="225" t="s">
        <v>106</v>
      </c>
      <c r="O20" s="225">
        <f>H20</f>
        <v>218</v>
      </c>
      <c r="P20" s="225">
        <f>ROUND(261*Belarus*(1-C90),2)</f>
        <v>261</v>
      </c>
      <c r="Q20" s="225">
        <f>P20</f>
        <v>261</v>
      </c>
      <c r="R20" s="225" t="s">
        <v>106</v>
      </c>
      <c r="S20" s="224" t="s">
        <v>106</v>
      </c>
      <c r="T20" s="226">
        <f>ROUND(247*Belarus*(1-D90),2)</f>
        <v>247</v>
      </c>
      <c r="U20" s="226" t="s">
        <v>106</v>
      </c>
      <c r="V20" s="225">
        <f>ROUND(277*Belarus*(1-E90),2)</f>
        <v>277</v>
      </c>
      <c r="W20" s="225">
        <f>V20</f>
        <v>277</v>
      </c>
      <c r="X20" s="225">
        <f>V20</f>
        <v>277</v>
      </c>
      <c r="Y20" s="225" t="s">
        <v>106</v>
      </c>
      <c r="Z20" s="225" t="s">
        <v>106</v>
      </c>
      <c r="AA20" s="225" t="s">
        <v>106</v>
      </c>
      <c r="AB20" s="223"/>
      <c r="AC20" s="223"/>
      <c r="AD20" s="223"/>
      <c r="AE20" s="223"/>
      <c r="AF20" s="223"/>
    </row>
    <row r="21" spans="1:32" ht="12.75" customHeight="1" x14ac:dyDescent="0.2">
      <c r="A21" s="381"/>
      <c r="B21" s="386"/>
      <c r="C21" s="383"/>
      <c r="D21" s="384"/>
      <c r="E21" s="385"/>
      <c r="F21" s="208" t="s">
        <v>224</v>
      </c>
      <c r="G21" s="225" t="s">
        <v>106</v>
      </c>
      <c r="H21" s="225">
        <f>H20/0.732</f>
        <v>297.8142076502732</v>
      </c>
      <c r="I21" s="225">
        <f>I20/0.732</f>
        <v>297.8142076502732</v>
      </c>
      <c r="J21" s="225" t="s">
        <v>106</v>
      </c>
      <c r="K21" s="225" t="s">
        <v>106</v>
      </c>
      <c r="L21" s="225" t="s">
        <v>106</v>
      </c>
      <c r="M21" s="225" t="s">
        <v>106</v>
      </c>
      <c r="N21" s="225" t="s">
        <v>106</v>
      </c>
      <c r="O21" s="225">
        <f>O20/0.732</f>
        <v>297.8142076502732</v>
      </c>
      <c r="P21" s="225">
        <f>P20/0.732</f>
        <v>356.55737704918033</v>
      </c>
      <c r="Q21" s="225">
        <f>Q20/0.732</f>
        <v>356.55737704918033</v>
      </c>
      <c r="R21" s="225" t="s">
        <v>106</v>
      </c>
      <c r="S21" s="224" t="s">
        <v>106</v>
      </c>
      <c r="T21" s="226">
        <f>T20/0.732</f>
        <v>337.43169398907105</v>
      </c>
      <c r="U21" s="226" t="s">
        <v>106</v>
      </c>
      <c r="V21" s="225">
        <f>V20/0.732</f>
        <v>378.41530054644812</v>
      </c>
      <c r="W21" s="225">
        <f>W20/0.732</f>
        <v>378.41530054644812</v>
      </c>
      <c r="X21" s="225">
        <f>X20/0.732</f>
        <v>378.41530054644812</v>
      </c>
      <c r="Y21" s="225" t="s">
        <v>106</v>
      </c>
      <c r="Z21" s="225" t="s">
        <v>106</v>
      </c>
      <c r="AA21" s="225" t="s">
        <v>106</v>
      </c>
      <c r="AB21" s="223"/>
      <c r="AC21" s="223"/>
      <c r="AD21" s="223"/>
      <c r="AE21" s="223"/>
      <c r="AF21" s="223"/>
    </row>
    <row r="22" spans="1:32" ht="12.75" customHeight="1" x14ac:dyDescent="0.2">
      <c r="A22" s="381" t="s">
        <v>226</v>
      </c>
      <c r="B22" s="382">
        <v>3</v>
      </c>
      <c r="C22" s="383">
        <v>0.16</v>
      </c>
      <c r="D22" s="384">
        <v>0.48</v>
      </c>
      <c r="E22" s="385">
        <v>22</v>
      </c>
      <c r="F22" s="208" t="s">
        <v>99</v>
      </c>
      <c r="G22" s="225">
        <f>ROUND(151*Belarus*(1-C91),2)</f>
        <v>151</v>
      </c>
      <c r="H22" s="225">
        <f>G22</f>
        <v>151</v>
      </c>
      <c r="I22" s="225">
        <f>G22</f>
        <v>151</v>
      </c>
      <c r="J22" s="225">
        <f>G22</f>
        <v>151</v>
      </c>
      <c r="K22" s="225" t="s">
        <v>106</v>
      </c>
      <c r="L22" s="225" t="s">
        <v>106</v>
      </c>
      <c r="M22" s="225" t="s">
        <v>106</v>
      </c>
      <c r="N22" s="225" t="s">
        <v>106</v>
      </c>
      <c r="O22" s="225" t="s">
        <v>106</v>
      </c>
      <c r="P22" s="225" t="s">
        <v>106</v>
      </c>
      <c r="Q22" s="225" t="s">
        <v>106</v>
      </c>
      <c r="R22" s="225" t="s">
        <v>106</v>
      </c>
      <c r="S22" s="224" t="s">
        <v>106</v>
      </c>
      <c r="T22" s="226" t="s">
        <v>106</v>
      </c>
      <c r="U22" s="226" t="s">
        <v>106</v>
      </c>
      <c r="V22" s="225" t="s">
        <v>106</v>
      </c>
      <c r="W22" s="225" t="s">
        <v>106</v>
      </c>
      <c r="X22" s="225" t="s">
        <v>106</v>
      </c>
      <c r="Y22" s="225" t="s">
        <v>106</v>
      </c>
      <c r="Z22" s="225" t="s">
        <v>106</v>
      </c>
      <c r="AA22" s="225" t="s">
        <v>106</v>
      </c>
      <c r="AB22" s="223"/>
      <c r="AC22" s="223"/>
      <c r="AD22" s="223"/>
      <c r="AE22" s="223"/>
      <c r="AF22" s="223"/>
    </row>
    <row r="23" spans="1:32" ht="12.75" customHeight="1" x14ac:dyDescent="0.2">
      <c r="A23" s="381"/>
      <c r="B23" s="382"/>
      <c r="C23" s="383"/>
      <c r="D23" s="384"/>
      <c r="E23" s="385"/>
      <c r="F23" s="208" t="s">
        <v>224</v>
      </c>
      <c r="G23" s="225">
        <f>G22/0.48</f>
        <v>314.58333333333337</v>
      </c>
      <c r="H23" s="225">
        <f>H22/0.48</f>
        <v>314.58333333333337</v>
      </c>
      <c r="I23" s="225">
        <f>I22/0.48</f>
        <v>314.58333333333337</v>
      </c>
      <c r="J23" s="225">
        <f>J22/0.48</f>
        <v>314.58333333333337</v>
      </c>
      <c r="K23" s="225" t="s">
        <v>106</v>
      </c>
      <c r="L23" s="225" t="s">
        <v>106</v>
      </c>
      <c r="M23" s="225" t="s">
        <v>106</v>
      </c>
      <c r="N23" s="225" t="s">
        <v>106</v>
      </c>
      <c r="O23" s="225" t="s">
        <v>106</v>
      </c>
      <c r="P23" s="225" t="s">
        <v>106</v>
      </c>
      <c r="Q23" s="225" t="s">
        <v>106</v>
      </c>
      <c r="R23" s="225" t="s">
        <v>106</v>
      </c>
      <c r="S23" s="224" t="s">
        <v>106</v>
      </c>
      <c r="T23" s="226" t="s">
        <v>106</v>
      </c>
      <c r="U23" s="226" t="s">
        <v>106</v>
      </c>
      <c r="V23" s="225" t="s">
        <v>106</v>
      </c>
      <c r="W23" s="225" t="s">
        <v>106</v>
      </c>
      <c r="X23" s="225" t="s">
        <v>106</v>
      </c>
      <c r="Y23" s="225" t="s">
        <v>106</v>
      </c>
      <c r="Z23" s="225" t="s">
        <v>106</v>
      </c>
      <c r="AA23" s="225" t="s">
        <v>106</v>
      </c>
      <c r="AB23" s="223"/>
      <c r="AC23" s="223"/>
      <c r="AD23" s="223"/>
      <c r="AE23" s="223"/>
      <c r="AF23" s="223"/>
    </row>
    <row r="24" spans="1:32" ht="12.75" customHeight="1" x14ac:dyDescent="0.2">
      <c r="A24" s="381" t="s">
        <v>225</v>
      </c>
      <c r="B24" s="382">
        <v>3</v>
      </c>
      <c r="C24" s="383">
        <v>0.182</v>
      </c>
      <c r="D24" s="384">
        <v>0.54600000000000004</v>
      </c>
      <c r="E24" s="385">
        <v>22</v>
      </c>
      <c r="F24" s="208" t="s">
        <v>99</v>
      </c>
      <c r="G24" s="225" t="s">
        <v>106</v>
      </c>
      <c r="H24" s="225" t="s">
        <v>106</v>
      </c>
      <c r="I24" s="225" t="s">
        <v>106</v>
      </c>
      <c r="J24" s="225" t="s">
        <v>106</v>
      </c>
      <c r="K24" s="225" t="s">
        <v>106</v>
      </c>
      <c r="L24" s="225" t="s">
        <v>106</v>
      </c>
      <c r="M24" s="225" t="s">
        <v>106</v>
      </c>
      <c r="N24" s="225" t="s">
        <v>106</v>
      </c>
      <c r="O24" s="225" t="s">
        <v>106</v>
      </c>
      <c r="P24" s="225" t="s">
        <v>106</v>
      </c>
      <c r="Q24" s="225" t="s">
        <v>106</v>
      </c>
      <c r="R24" s="225" t="s">
        <v>106</v>
      </c>
      <c r="S24" s="224" t="s">
        <v>106</v>
      </c>
      <c r="T24" s="226">
        <f>ROUND(194*Belarus*(1-D92),2)</f>
        <v>194</v>
      </c>
      <c r="U24" s="226" t="s">
        <v>106</v>
      </c>
      <c r="V24" s="225">
        <f>ROUND(252*Belarus*(1-E92),2)</f>
        <v>252</v>
      </c>
      <c r="W24" s="225">
        <f>V24</f>
        <v>252</v>
      </c>
      <c r="X24" s="225">
        <f>V24</f>
        <v>252</v>
      </c>
      <c r="Y24" s="225">
        <f>V24</f>
        <v>252</v>
      </c>
      <c r="Z24" s="225">
        <f>V24</f>
        <v>252</v>
      </c>
      <c r="AA24" s="225" t="s">
        <v>106</v>
      </c>
      <c r="AB24" s="223"/>
      <c r="AC24" s="223"/>
      <c r="AD24" s="223"/>
      <c r="AE24" s="223"/>
      <c r="AF24" s="223"/>
    </row>
    <row r="25" spans="1:32" ht="12.75" customHeight="1" x14ac:dyDescent="0.2">
      <c r="A25" s="381"/>
      <c r="B25" s="382"/>
      <c r="C25" s="383"/>
      <c r="D25" s="384"/>
      <c r="E25" s="385"/>
      <c r="F25" s="208" t="s">
        <v>224</v>
      </c>
      <c r="G25" s="224" t="s">
        <v>106</v>
      </c>
      <c r="H25" s="224" t="s">
        <v>106</v>
      </c>
      <c r="I25" s="224" t="s">
        <v>106</v>
      </c>
      <c r="J25" s="224" t="s">
        <v>106</v>
      </c>
      <c r="K25" s="224" t="s">
        <v>106</v>
      </c>
      <c r="L25" s="224" t="s">
        <v>106</v>
      </c>
      <c r="M25" s="224" t="s">
        <v>106</v>
      </c>
      <c r="N25" s="224" t="s">
        <v>106</v>
      </c>
      <c r="O25" s="224" t="s">
        <v>106</v>
      </c>
      <c r="P25" s="224" t="s">
        <v>106</v>
      </c>
      <c r="Q25" s="224" t="s">
        <v>106</v>
      </c>
      <c r="R25" s="224" t="s">
        <v>106</v>
      </c>
      <c r="S25" s="224" t="s">
        <v>106</v>
      </c>
      <c r="T25" s="226">
        <f>T24/0.546</f>
        <v>355.31135531135527</v>
      </c>
      <c r="U25" s="226" t="s">
        <v>106</v>
      </c>
      <c r="V25" s="225">
        <f>V24/0.546</f>
        <v>461.53846153846149</v>
      </c>
      <c r="W25" s="225">
        <f>W24/0.546</f>
        <v>461.53846153846149</v>
      </c>
      <c r="X25" s="225">
        <f>X24/0.546</f>
        <v>461.53846153846149</v>
      </c>
      <c r="Y25" s="225">
        <f>Y24/0.546</f>
        <v>461.53846153846149</v>
      </c>
      <c r="Z25" s="225">
        <f>Z24/0.546</f>
        <v>461.53846153846149</v>
      </c>
      <c r="AA25" s="225" t="s">
        <v>106</v>
      </c>
      <c r="AB25" s="223"/>
      <c r="AC25" s="223"/>
      <c r="AD25" s="223"/>
      <c r="AE25" s="223"/>
      <c r="AF25" s="223"/>
    </row>
    <row r="26" spans="1:32" ht="15" customHeight="1" x14ac:dyDescent="0.2">
      <c r="A26" s="207" t="s">
        <v>173</v>
      </c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</row>
    <row r="27" spans="1:32" ht="12.75" hidden="1" customHeight="1" x14ac:dyDescent="0.2">
      <c r="A27" s="220"/>
      <c r="B27" s="193"/>
      <c r="C27" s="193"/>
      <c r="D27" s="193"/>
      <c r="E27" s="193"/>
      <c r="F27" s="193"/>
      <c r="G27" s="222"/>
      <c r="H27" s="222"/>
      <c r="I27" s="222"/>
      <c r="J27" s="222"/>
      <c r="K27" s="222"/>
      <c r="L27" s="222"/>
      <c r="M27" s="222"/>
      <c r="N27" s="222"/>
      <c r="O27" s="222"/>
      <c r="P27" s="193"/>
      <c r="Q27" s="193"/>
      <c r="R27" s="193"/>
      <c r="S27" s="193"/>
      <c r="T27" s="193"/>
      <c r="U27" s="193"/>
      <c r="V27" s="221"/>
      <c r="W27" s="221"/>
      <c r="X27" s="221"/>
      <c r="Y27" s="221"/>
      <c r="Z27" s="221"/>
      <c r="AA27" s="221"/>
      <c r="AB27" s="220"/>
      <c r="AC27" s="388"/>
      <c r="AD27" s="388"/>
      <c r="AE27" s="388"/>
      <c r="AF27" s="388"/>
    </row>
    <row r="28" spans="1:32" ht="18.75" thickBot="1" x14ac:dyDescent="0.3">
      <c r="A28" s="346" t="s">
        <v>223</v>
      </c>
      <c r="B28" s="346"/>
      <c r="C28" s="346"/>
      <c r="D28" s="346"/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  <c r="AB28" s="219"/>
      <c r="AC28" s="219"/>
      <c r="AD28" s="219"/>
      <c r="AE28" s="219"/>
      <c r="AF28" s="219"/>
    </row>
    <row r="29" spans="1:32" x14ac:dyDescent="0.2">
      <c r="A29" s="216"/>
      <c r="B29" s="108"/>
      <c r="C29" s="108"/>
      <c r="D29" s="108"/>
      <c r="E29" s="108"/>
      <c r="F29" s="108"/>
      <c r="G29" s="218"/>
      <c r="H29" s="218"/>
      <c r="I29" s="218"/>
      <c r="J29" s="218"/>
      <c r="K29" s="218"/>
      <c r="L29" s="218"/>
      <c r="M29" s="218"/>
      <c r="N29" s="218"/>
      <c r="O29" s="218"/>
      <c r="P29" s="108"/>
      <c r="Q29" s="108"/>
      <c r="R29" s="108"/>
      <c r="S29" s="108"/>
      <c r="T29" s="108"/>
      <c r="U29" s="108"/>
      <c r="V29" s="217"/>
      <c r="W29" s="217"/>
      <c r="X29" s="217"/>
      <c r="Y29" s="216" t="s">
        <v>189</v>
      </c>
      <c r="Z29" s="389">
        <v>43466</v>
      </c>
      <c r="AA29" s="389"/>
      <c r="AB29" s="193"/>
      <c r="AC29" s="193"/>
      <c r="AD29" s="193"/>
      <c r="AE29" s="193"/>
      <c r="AF29" s="193"/>
    </row>
    <row r="30" spans="1:32" ht="12.75" customHeight="1" x14ac:dyDescent="0.2">
      <c r="A30" s="390" t="s">
        <v>222</v>
      </c>
      <c r="B30" s="391"/>
      <c r="C30" s="391"/>
      <c r="D30" s="391"/>
      <c r="E30" s="391"/>
      <c r="F30" s="392"/>
      <c r="G30" s="399" t="s">
        <v>221</v>
      </c>
      <c r="H30" s="400"/>
      <c r="I30" s="400"/>
      <c r="J30" s="400"/>
      <c r="K30" s="400"/>
      <c r="L30" s="400"/>
      <c r="M30" s="400"/>
      <c r="N30" s="400"/>
      <c r="O30" s="400"/>
      <c r="P30" s="400"/>
      <c r="Q30" s="400"/>
      <c r="R30" s="400"/>
      <c r="S30" s="400"/>
      <c r="T30" s="400"/>
      <c r="U30" s="400"/>
      <c r="V30" s="400"/>
      <c r="W30" s="400"/>
      <c r="X30" s="400"/>
      <c r="Y30" s="400"/>
      <c r="Z30" s="400"/>
      <c r="AA30" s="401"/>
      <c r="AB30" s="215"/>
      <c r="AC30" s="215"/>
      <c r="AD30" s="215"/>
      <c r="AE30" s="215"/>
      <c r="AF30" s="215"/>
    </row>
    <row r="31" spans="1:32" ht="12.75" customHeight="1" x14ac:dyDescent="0.2">
      <c r="A31" s="393"/>
      <c r="B31" s="394"/>
      <c r="C31" s="394"/>
      <c r="D31" s="394"/>
      <c r="E31" s="394"/>
      <c r="F31" s="395"/>
      <c r="G31" s="361" t="s">
        <v>220</v>
      </c>
      <c r="H31" s="361"/>
      <c r="I31" s="361"/>
      <c r="J31" s="361"/>
      <c r="K31" s="361"/>
      <c r="L31" s="361"/>
      <c r="M31" s="361"/>
      <c r="N31" s="361"/>
      <c r="O31" s="361"/>
      <c r="P31" s="361"/>
      <c r="Q31" s="361"/>
      <c r="R31" s="361"/>
      <c r="S31" s="361"/>
      <c r="T31" s="361" t="s">
        <v>138</v>
      </c>
      <c r="U31" s="399"/>
      <c r="V31" s="361" t="s">
        <v>219</v>
      </c>
      <c r="W31" s="379"/>
      <c r="X31" s="379"/>
      <c r="Y31" s="379"/>
      <c r="Z31" s="379"/>
      <c r="AA31" s="379"/>
      <c r="AB31" s="215"/>
      <c r="AC31" s="197"/>
      <c r="AD31" s="197"/>
      <c r="AE31" s="197"/>
      <c r="AF31" s="197"/>
    </row>
    <row r="32" spans="1:32" ht="12.75" customHeight="1" x14ac:dyDescent="0.2">
      <c r="A32" s="396"/>
      <c r="B32" s="397"/>
      <c r="C32" s="397"/>
      <c r="D32" s="397"/>
      <c r="E32" s="397"/>
      <c r="F32" s="398"/>
      <c r="G32" s="361" t="s">
        <v>218</v>
      </c>
      <c r="H32" s="361"/>
      <c r="I32" s="361"/>
      <c r="J32" s="361"/>
      <c r="K32" s="361"/>
      <c r="L32" s="361"/>
      <c r="M32" s="361"/>
      <c r="N32" s="361"/>
      <c r="O32" s="361"/>
      <c r="P32" s="361" t="s">
        <v>217</v>
      </c>
      <c r="Q32" s="361"/>
      <c r="R32" s="361"/>
      <c r="S32" s="402" t="s">
        <v>144</v>
      </c>
      <c r="T32" s="361"/>
      <c r="U32" s="399"/>
      <c r="V32" s="379"/>
      <c r="W32" s="379"/>
      <c r="X32" s="379"/>
      <c r="Y32" s="379"/>
      <c r="Z32" s="379"/>
      <c r="AA32" s="379"/>
      <c r="AB32" s="197"/>
      <c r="AC32" s="197"/>
      <c r="AD32" s="197"/>
      <c r="AE32" s="197"/>
      <c r="AF32" s="197"/>
    </row>
    <row r="33" spans="1:32" ht="51" x14ac:dyDescent="0.2">
      <c r="A33" s="261" t="s">
        <v>96</v>
      </c>
      <c r="B33" s="261" t="s">
        <v>2</v>
      </c>
      <c r="C33" s="261" t="s">
        <v>216</v>
      </c>
      <c r="D33" s="261" t="s">
        <v>215</v>
      </c>
      <c r="E33" s="261" t="s">
        <v>137</v>
      </c>
      <c r="F33" s="261" t="s">
        <v>214</v>
      </c>
      <c r="G33" s="261" t="s">
        <v>139</v>
      </c>
      <c r="H33" s="261" t="s">
        <v>140</v>
      </c>
      <c r="I33" s="261" t="s">
        <v>141</v>
      </c>
      <c r="J33" s="261" t="s">
        <v>213</v>
      </c>
      <c r="K33" s="261" t="s">
        <v>212</v>
      </c>
      <c r="L33" s="261" t="s">
        <v>211</v>
      </c>
      <c r="M33" s="261" t="s">
        <v>210</v>
      </c>
      <c r="N33" s="261" t="s">
        <v>107</v>
      </c>
      <c r="O33" s="261" t="s">
        <v>209</v>
      </c>
      <c r="P33" s="261" t="s">
        <v>135</v>
      </c>
      <c r="Q33" s="261" t="s">
        <v>208</v>
      </c>
      <c r="R33" s="261" t="s">
        <v>207</v>
      </c>
      <c r="S33" s="403"/>
      <c r="T33" s="261" t="s">
        <v>136</v>
      </c>
      <c r="U33" s="262" t="s">
        <v>206</v>
      </c>
      <c r="V33" s="261" t="s">
        <v>205</v>
      </c>
      <c r="W33" s="261" t="s">
        <v>204</v>
      </c>
      <c r="X33" s="261" t="s">
        <v>203</v>
      </c>
      <c r="Y33" s="261" t="s">
        <v>202</v>
      </c>
      <c r="Z33" s="261" t="s">
        <v>201</v>
      </c>
      <c r="AA33" s="261" t="s">
        <v>200</v>
      </c>
      <c r="AB33" s="214"/>
      <c r="AC33" s="214"/>
      <c r="AD33" s="214"/>
      <c r="AE33" s="214"/>
      <c r="AF33" s="214"/>
    </row>
    <row r="34" spans="1:32" ht="15" x14ac:dyDescent="0.2">
      <c r="A34" s="406" t="s">
        <v>199</v>
      </c>
      <c r="B34" s="407"/>
      <c r="C34" s="407"/>
      <c r="D34" s="407"/>
      <c r="E34" s="407"/>
      <c r="F34" s="407"/>
      <c r="G34" s="407"/>
      <c r="H34" s="407"/>
      <c r="I34" s="407"/>
      <c r="J34" s="407"/>
      <c r="K34" s="407"/>
      <c r="L34" s="407"/>
      <c r="M34" s="407"/>
      <c r="N34" s="407"/>
      <c r="O34" s="407"/>
      <c r="P34" s="407"/>
      <c r="Q34" s="407"/>
      <c r="R34" s="407"/>
      <c r="S34" s="407"/>
      <c r="T34" s="407"/>
      <c r="U34" s="407"/>
      <c r="V34" s="407"/>
      <c r="W34" s="407"/>
      <c r="X34" s="407"/>
      <c r="Y34" s="407"/>
      <c r="Z34" s="407"/>
      <c r="AA34" s="408"/>
      <c r="AB34" s="213"/>
      <c r="AC34" s="213"/>
      <c r="AD34" s="213"/>
      <c r="AE34" s="213"/>
      <c r="AF34" s="213"/>
    </row>
    <row r="35" spans="1:32" x14ac:dyDescent="0.2">
      <c r="A35" s="260" t="s">
        <v>287</v>
      </c>
      <c r="B35" s="269">
        <v>3</v>
      </c>
      <c r="C35" s="269" t="s">
        <v>106</v>
      </c>
      <c r="D35" s="269" t="s">
        <v>106</v>
      </c>
      <c r="E35" s="209">
        <v>24</v>
      </c>
      <c r="F35" s="208" t="s">
        <v>99</v>
      </c>
      <c r="G35" s="234">
        <f>ROUND(619*Belarus*(1-C98),2)</f>
        <v>619</v>
      </c>
      <c r="H35" s="234">
        <f>G35</f>
        <v>619</v>
      </c>
      <c r="I35" s="234">
        <f>G35</f>
        <v>619</v>
      </c>
      <c r="J35" s="234">
        <f>G35</f>
        <v>619</v>
      </c>
      <c r="K35" s="234">
        <f>G35</f>
        <v>619</v>
      </c>
      <c r="L35" s="234">
        <f>G35</f>
        <v>619</v>
      </c>
      <c r="M35" s="234">
        <f>G35</f>
        <v>619</v>
      </c>
      <c r="N35" s="234">
        <f>G35</f>
        <v>619</v>
      </c>
      <c r="O35" s="234">
        <f>G35</f>
        <v>619</v>
      </c>
      <c r="P35" s="234">
        <f>ROUND(714*Belarus*(1-C98),2)</f>
        <v>714</v>
      </c>
      <c r="Q35" s="234">
        <f>P35</f>
        <v>714</v>
      </c>
      <c r="R35" s="234">
        <f>G35</f>
        <v>619</v>
      </c>
      <c r="S35" s="234">
        <f>ROUND(666*Belarus*(1-C98),2)</f>
        <v>666</v>
      </c>
      <c r="T35" s="270">
        <f>ROUND(726*Belarus*(1-C98),2)</f>
        <v>726</v>
      </c>
      <c r="U35" s="268">
        <f>ROUND(503*Belarus*(1-C98),2)</f>
        <v>503</v>
      </c>
      <c r="V35" s="231">
        <f>ROUND(665*Belarus*(1-C98),2)</f>
        <v>665</v>
      </c>
      <c r="W35" s="271">
        <f>V35</f>
        <v>665</v>
      </c>
      <c r="X35" s="271">
        <f>V35</f>
        <v>665</v>
      </c>
      <c r="Y35" s="212" t="s">
        <v>106</v>
      </c>
      <c r="Z35" s="212" t="s">
        <v>106</v>
      </c>
      <c r="AA35" s="212" t="s">
        <v>106</v>
      </c>
      <c r="AB35" s="194"/>
      <c r="AC35" s="194"/>
      <c r="AD35" s="194"/>
      <c r="AE35" s="194"/>
      <c r="AF35" s="194"/>
    </row>
    <row r="36" spans="1:32" x14ac:dyDescent="0.2">
      <c r="A36" s="260" t="s">
        <v>198</v>
      </c>
      <c r="B36" s="269">
        <v>3</v>
      </c>
      <c r="C36" s="269" t="s">
        <v>106</v>
      </c>
      <c r="D36" s="269" t="s">
        <v>106</v>
      </c>
      <c r="E36" s="209">
        <v>51</v>
      </c>
      <c r="F36" s="208" t="s">
        <v>99</v>
      </c>
      <c r="G36" s="231">
        <f>ROUND(241*Belarus*(1-C98),2)</f>
        <v>241</v>
      </c>
      <c r="H36" s="231">
        <f>G36</f>
        <v>241</v>
      </c>
      <c r="I36" s="231">
        <f>G36</f>
        <v>241</v>
      </c>
      <c r="J36" s="231">
        <f>G36</f>
        <v>241</v>
      </c>
      <c r="K36" s="231">
        <f>G36</f>
        <v>241</v>
      </c>
      <c r="L36" s="231">
        <f>G36</f>
        <v>241</v>
      </c>
      <c r="M36" s="231">
        <f>G36</f>
        <v>241</v>
      </c>
      <c r="N36" s="231">
        <f>G36</f>
        <v>241</v>
      </c>
      <c r="O36" s="231">
        <f>G36</f>
        <v>241</v>
      </c>
      <c r="P36" s="231">
        <f>ROUND(275*Belarus*(1-C98),2)</f>
        <v>275</v>
      </c>
      <c r="Q36" s="231">
        <f>P36</f>
        <v>275</v>
      </c>
      <c r="R36" s="231">
        <f>G36</f>
        <v>241</v>
      </c>
      <c r="S36" s="231">
        <f>ROUND(258*Belarus*(1-C98),2)</f>
        <v>258</v>
      </c>
      <c r="T36" s="267">
        <f>ROUND(282*Belarus*(1-C98),2)</f>
        <v>282</v>
      </c>
      <c r="U36" s="268">
        <f>ROUND(195*Belarus*(1-C98),2)</f>
        <v>195</v>
      </c>
      <c r="V36" s="231">
        <f>ROUND(292*Belarus*(1-C98),2)</f>
        <v>292</v>
      </c>
      <c r="W36" s="231">
        <f>V36</f>
        <v>292</v>
      </c>
      <c r="X36" s="231">
        <f>V36</f>
        <v>292</v>
      </c>
      <c r="Y36" s="263" t="s">
        <v>106</v>
      </c>
      <c r="Z36" s="263" t="s">
        <v>106</v>
      </c>
      <c r="AA36" s="263" t="s">
        <v>106</v>
      </c>
      <c r="AB36" s="194"/>
      <c r="AC36" s="194"/>
      <c r="AD36" s="194"/>
      <c r="AE36" s="194"/>
      <c r="AF36" s="194"/>
    </row>
    <row r="37" spans="1:32" x14ac:dyDescent="0.2">
      <c r="A37" s="260" t="s">
        <v>197</v>
      </c>
      <c r="B37" s="269">
        <v>3</v>
      </c>
      <c r="C37" s="269" t="s">
        <v>106</v>
      </c>
      <c r="D37" s="269" t="s">
        <v>106</v>
      </c>
      <c r="E37" s="209">
        <v>69</v>
      </c>
      <c r="F37" s="208" t="s">
        <v>99</v>
      </c>
      <c r="G37" s="231">
        <f>ROUND(207*Belarus*(1-C98),2)</f>
        <v>207</v>
      </c>
      <c r="H37" s="231" t="s">
        <v>106</v>
      </c>
      <c r="I37" s="231" t="s">
        <v>106</v>
      </c>
      <c r="J37" s="231" t="s">
        <v>106</v>
      </c>
      <c r="K37" s="231" t="s">
        <v>106</v>
      </c>
      <c r="L37" s="231" t="s">
        <v>106</v>
      </c>
      <c r="M37" s="231" t="s">
        <v>106</v>
      </c>
      <c r="N37" s="231" t="s">
        <v>106</v>
      </c>
      <c r="O37" s="231" t="s">
        <v>106</v>
      </c>
      <c r="P37" s="231" t="s">
        <v>106</v>
      </c>
      <c r="Q37" s="231" t="s">
        <v>106</v>
      </c>
      <c r="R37" s="231" t="s">
        <v>106</v>
      </c>
      <c r="S37" s="231">
        <f>ROUND(212*Belarus*(1-C98),2)</f>
        <v>212</v>
      </c>
      <c r="T37" s="267" t="s">
        <v>106</v>
      </c>
      <c r="U37" s="268" t="s">
        <v>106</v>
      </c>
      <c r="V37" s="231" t="s">
        <v>106</v>
      </c>
      <c r="W37" s="231" t="s">
        <v>106</v>
      </c>
      <c r="X37" s="231" t="s">
        <v>106</v>
      </c>
      <c r="Y37" s="263" t="s">
        <v>106</v>
      </c>
      <c r="Z37" s="263" t="s">
        <v>106</v>
      </c>
      <c r="AA37" s="263" t="s">
        <v>106</v>
      </c>
      <c r="AB37" s="194"/>
      <c r="AC37" s="194"/>
      <c r="AD37" s="194"/>
      <c r="AE37" s="194"/>
      <c r="AF37" s="194"/>
    </row>
    <row r="38" spans="1:32" x14ac:dyDescent="0.2">
      <c r="A38" s="260" t="s">
        <v>18</v>
      </c>
      <c r="B38" s="269">
        <v>3</v>
      </c>
      <c r="C38" s="269" t="s">
        <v>106</v>
      </c>
      <c r="D38" s="269" t="s">
        <v>106</v>
      </c>
      <c r="E38" s="209">
        <v>50</v>
      </c>
      <c r="F38" s="208" t="s">
        <v>99</v>
      </c>
      <c r="G38" s="234">
        <f>ROUND(199*Belarus*(1-C98),2)</f>
        <v>199</v>
      </c>
      <c r="H38" s="234">
        <f>G38</f>
        <v>199</v>
      </c>
      <c r="I38" s="234">
        <f>G38</f>
        <v>199</v>
      </c>
      <c r="J38" s="231">
        <f>G38</f>
        <v>199</v>
      </c>
      <c r="K38" s="231">
        <f>G38</f>
        <v>199</v>
      </c>
      <c r="L38" s="231">
        <f>G38</f>
        <v>199</v>
      </c>
      <c r="M38" s="231">
        <f>G38</f>
        <v>199</v>
      </c>
      <c r="N38" s="231">
        <f>G38</f>
        <v>199</v>
      </c>
      <c r="O38" s="234">
        <f>G38</f>
        <v>199</v>
      </c>
      <c r="P38" s="231">
        <f>ROUND(230*Belarus*(1-C98),2)</f>
        <v>230</v>
      </c>
      <c r="Q38" s="231">
        <f>P38</f>
        <v>230</v>
      </c>
      <c r="R38" s="231">
        <f>G38</f>
        <v>199</v>
      </c>
      <c r="S38" s="234">
        <f>ROUND(222*Belarus*(1-C98),2)</f>
        <v>222</v>
      </c>
      <c r="T38" s="267" t="str">
        <f>ROUND(201*Belarus*(1-C98),2)&amp;" (1)"</f>
        <v>201 (1)</v>
      </c>
      <c r="U38" s="268">
        <f>ROUND(162*Belarus*(1-C98),2)</f>
        <v>162</v>
      </c>
      <c r="V38" s="234" t="s">
        <v>106</v>
      </c>
      <c r="W38" s="234" t="s">
        <v>106</v>
      </c>
      <c r="X38" s="234" t="s">
        <v>106</v>
      </c>
      <c r="Y38" s="264" t="s">
        <v>106</v>
      </c>
      <c r="Z38" s="264" t="s">
        <v>106</v>
      </c>
      <c r="AA38" s="264" t="s">
        <v>106</v>
      </c>
      <c r="AB38" s="194"/>
      <c r="AC38" s="194"/>
      <c r="AD38" s="194"/>
      <c r="AE38" s="194"/>
      <c r="AF38" s="194"/>
    </row>
    <row r="39" spans="1:32" x14ac:dyDescent="0.2">
      <c r="A39" s="260" t="s">
        <v>60</v>
      </c>
      <c r="B39" s="269">
        <v>3</v>
      </c>
      <c r="C39" s="269" t="s">
        <v>106</v>
      </c>
      <c r="D39" s="269" t="s">
        <v>106</v>
      </c>
      <c r="E39" s="209">
        <v>40</v>
      </c>
      <c r="F39" s="208" t="s">
        <v>99</v>
      </c>
      <c r="G39" s="234">
        <f>ROUND(194*Belarus*(1-C98),2)</f>
        <v>194</v>
      </c>
      <c r="H39" s="234" t="s">
        <v>106</v>
      </c>
      <c r="I39" s="234" t="s">
        <v>106</v>
      </c>
      <c r="J39" s="231" t="s">
        <v>106</v>
      </c>
      <c r="K39" s="231" t="s">
        <v>106</v>
      </c>
      <c r="L39" s="231" t="s">
        <v>106</v>
      </c>
      <c r="M39" s="231" t="s">
        <v>106</v>
      </c>
      <c r="N39" s="231" t="s">
        <v>106</v>
      </c>
      <c r="O39" s="234" t="s">
        <v>106</v>
      </c>
      <c r="P39" s="231" t="s">
        <v>106</v>
      </c>
      <c r="Q39" s="231" t="s">
        <v>106</v>
      </c>
      <c r="R39" s="231" t="s">
        <v>106</v>
      </c>
      <c r="S39" s="271" t="s">
        <v>106</v>
      </c>
      <c r="T39" s="267" t="s">
        <v>106</v>
      </c>
      <c r="U39" s="268" t="s">
        <v>106</v>
      </c>
      <c r="V39" s="234" t="s">
        <v>106</v>
      </c>
      <c r="W39" s="234" t="s">
        <v>106</v>
      </c>
      <c r="X39" s="234" t="s">
        <v>106</v>
      </c>
      <c r="Y39" s="264" t="s">
        <v>106</v>
      </c>
      <c r="Z39" s="264" t="s">
        <v>106</v>
      </c>
      <c r="AA39" s="264" t="s">
        <v>106</v>
      </c>
      <c r="AB39" s="194"/>
      <c r="AC39" s="194"/>
      <c r="AD39" s="194"/>
      <c r="AE39" s="194"/>
      <c r="AF39" s="194"/>
    </row>
    <row r="40" spans="1:32" x14ac:dyDescent="0.2">
      <c r="A40" s="260" t="s">
        <v>196</v>
      </c>
      <c r="B40" s="269">
        <v>3</v>
      </c>
      <c r="C40" s="269" t="s">
        <v>106</v>
      </c>
      <c r="D40" s="269" t="s">
        <v>106</v>
      </c>
      <c r="E40" s="209">
        <v>10</v>
      </c>
      <c r="F40" s="208" t="s">
        <v>99</v>
      </c>
      <c r="G40" s="231">
        <f>ROUND(680*Belarus*(1-C98),2)</f>
        <v>680</v>
      </c>
      <c r="H40" s="231">
        <f>G40</f>
        <v>680</v>
      </c>
      <c r="I40" s="231">
        <f>G40</f>
        <v>680</v>
      </c>
      <c r="J40" s="231">
        <f>G40</f>
        <v>680</v>
      </c>
      <c r="K40" s="231">
        <f>G40</f>
        <v>680</v>
      </c>
      <c r="L40" s="231">
        <f>G40</f>
        <v>680</v>
      </c>
      <c r="M40" s="231">
        <f>G40</f>
        <v>680</v>
      </c>
      <c r="N40" s="231">
        <f>G40</f>
        <v>680</v>
      </c>
      <c r="O40" s="231">
        <f>G40</f>
        <v>680</v>
      </c>
      <c r="P40" s="231">
        <f>ROUND(784*Belarus*(1-C98),2)</f>
        <v>784</v>
      </c>
      <c r="Q40" s="231">
        <f>P40</f>
        <v>784</v>
      </c>
      <c r="R40" s="231">
        <f>G40</f>
        <v>680</v>
      </c>
      <c r="S40" s="231">
        <f>ROUND(723*Belarus*(1-C98),2)</f>
        <v>723</v>
      </c>
      <c r="T40" s="267">
        <f>ROUND(792*Belarus*(1-C98),2)</f>
        <v>792</v>
      </c>
      <c r="U40" s="268">
        <f>ROUND(548*Belarus*(1-C98),2)</f>
        <v>548</v>
      </c>
      <c r="V40" s="231">
        <f>ROUND(700*Belarus*(1-C98),2)</f>
        <v>700</v>
      </c>
      <c r="W40" s="231">
        <f>ROUND(700*Belarus*(1-C98),2)</f>
        <v>700</v>
      </c>
      <c r="X40" s="231">
        <f>ROUND(700*Belarus*(1-C98),2)</f>
        <v>700</v>
      </c>
      <c r="Y40" s="263" t="s">
        <v>106</v>
      </c>
      <c r="Z40" s="263" t="s">
        <v>106</v>
      </c>
      <c r="AA40" s="263" t="s">
        <v>106</v>
      </c>
      <c r="AB40" s="194"/>
      <c r="AC40" s="194"/>
      <c r="AD40" s="194"/>
      <c r="AE40" s="194"/>
      <c r="AF40" s="194"/>
    </row>
    <row r="41" spans="1:32" x14ac:dyDescent="0.2">
      <c r="A41" s="260" t="s">
        <v>195</v>
      </c>
      <c r="B41" s="269">
        <v>3</v>
      </c>
      <c r="C41" s="269" t="s">
        <v>106</v>
      </c>
      <c r="D41" s="269" t="s">
        <v>106</v>
      </c>
      <c r="E41" s="209">
        <v>8</v>
      </c>
      <c r="F41" s="208" t="s">
        <v>99</v>
      </c>
      <c r="G41" s="231">
        <f>ROUND(589*Belarus*(1-C98),2)</f>
        <v>589</v>
      </c>
      <c r="H41" s="231" t="s">
        <v>106</v>
      </c>
      <c r="I41" s="231" t="s">
        <v>106</v>
      </c>
      <c r="J41" s="231" t="s">
        <v>106</v>
      </c>
      <c r="K41" s="231" t="s">
        <v>106</v>
      </c>
      <c r="L41" s="231" t="s">
        <v>106</v>
      </c>
      <c r="M41" s="231" t="s">
        <v>106</v>
      </c>
      <c r="N41" s="231" t="s">
        <v>106</v>
      </c>
      <c r="O41" s="231" t="s">
        <v>106</v>
      </c>
      <c r="P41" s="231" t="s">
        <v>106</v>
      </c>
      <c r="Q41" s="231" t="s">
        <v>106</v>
      </c>
      <c r="R41" s="231" t="s">
        <v>106</v>
      </c>
      <c r="S41" s="231">
        <f>ROUND(583*Belarus*(1-C98),2)</f>
        <v>583</v>
      </c>
      <c r="T41" s="267" t="s">
        <v>106</v>
      </c>
      <c r="U41" s="268" t="s">
        <v>106</v>
      </c>
      <c r="V41" s="231" t="s">
        <v>106</v>
      </c>
      <c r="W41" s="231" t="s">
        <v>106</v>
      </c>
      <c r="X41" s="231" t="s">
        <v>106</v>
      </c>
      <c r="Y41" s="263" t="s">
        <v>106</v>
      </c>
      <c r="Z41" s="263" t="s">
        <v>106</v>
      </c>
      <c r="AA41" s="263" t="s">
        <v>106</v>
      </c>
      <c r="AB41" s="194"/>
      <c r="AC41" s="194"/>
      <c r="AD41" s="194"/>
      <c r="AE41" s="194"/>
      <c r="AF41" s="194"/>
    </row>
    <row r="42" spans="1:32" x14ac:dyDescent="0.2">
      <c r="A42" s="260" t="s">
        <v>288</v>
      </c>
      <c r="B42" s="269">
        <v>3</v>
      </c>
      <c r="C42" s="269" t="s">
        <v>106</v>
      </c>
      <c r="D42" s="269" t="s">
        <v>106</v>
      </c>
      <c r="E42" s="209">
        <v>20</v>
      </c>
      <c r="F42" s="208" t="s">
        <v>99</v>
      </c>
      <c r="G42" s="234">
        <f>ROUND(599*Belarus*(1-C98),2)</f>
        <v>599</v>
      </c>
      <c r="H42" s="234">
        <f>G42</f>
        <v>599</v>
      </c>
      <c r="I42" s="234">
        <f>G42</f>
        <v>599</v>
      </c>
      <c r="J42" s="234">
        <f>G42</f>
        <v>599</v>
      </c>
      <c r="K42" s="231">
        <f>G42</f>
        <v>599</v>
      </c>
      <c r="L42" s="231">
        <f>G42</f>
        <v>599</v>
      </c>
      <c r="M42" s="231">
        <f>G42</f>
        <v>599</v>
      </c>
      <c r="N42" s="234">
        <f>G42</f>
        <v>599</v>
      </c>
      <c r="O42" s="234">
        <f>G42</f>
        <v>599</v>
      </c>
      <c r="P42" s="231">
        <f>ROUND(691*Belarus*(1-C98),2)</f>
        <v>691</v>
      </c>
      <c r="Q42" s="234">
        <f>P42</f>
        <v>691</v>
      </c>
      <c r="R42" s="234">
        <f>G42</f>
        <v>599</v>
      </c>
      <c r="S42" s="234">
        <f>ROUND(645*Belarus*(1-C98),2)</f>
        <v>645</v>
      </c>
      <c r="T42" s="267" t="str">
        <f>ROUND(603*Belarus*(1-C98),2)&amp;" (1)"</f>
        <v>603 (1)</v>
      </c>
      <c r="U42" s="268">
        <f>ROUND(488*Belarus*(1-C98),2)</f>
        <v>488</v>
      </c>
      <c r="V42" s="264" t="s">
        <v>106</v>
      </c>
      <c r="W42" s="264" t="s">
        <v>106</v>
      </c>
      <c r="X42" s="264" t="s">
        <v>106</v>
      </c>
      <c r="Y42" s="264" t="s">
        <v>106</v>
      </c>
      <c r="Z42" s="264" t="s">
        <v>106</v>
      </c>
      <c r="AA42" s="264" t="s">
        <v>106</v>
      </c>
      <c r="AB42" s="194"/>
      <c r="AC42" s="194"/>
      <c r="AD42" s="194"/>
      <c r="AE42" s="194"/>
      <c r="AF42" s="194"/>
    </row>
    <row r="43" spans="1:32" ht="25.5" x14ac:dyDescent="0.2">
      <c r="A43" s="260" t="s">
        <v>289</v>
      </c>
      <c r="B43" s="269">
        <v>3</v>
      </c>
      <c r="C43" s="269" t="s">
        <v>106</v>
      </c>
      <c r="D43" s="269" t="s">
        <v>106</v>
      </c>
      <c r="E43" s="209">
        <v>50</v>
      </c>
      <c r="F43" s="208" t="s">
        <v>99</v>
      </c>
      <c r="G43" s="234">
        <f>ROUND(354*Belarus*(1-C98),2)</f>
        <v>354</v>
      </c>
      <c r="H43" s="234" t="s">
        <v>106</v>
      </c>
      <c r="I43" s="234" t="s">
        <v>106</v>
      </c>
      <c r="J43" s="234" t="s">
        <v>106</v>
      </c>
      <c r="K43" s="234" t="s">
        <v>106</v>
      </c>
      <c r="L43" s="234" t="s">
        <v>106</v>
      </c>
      <c r="M43" s="234" t="s">
        <v>106</v>
      </c>
      <c r="N43" s="234" t="s">
        <v>106</v>
      </c>
      <c r="O43" s="234" t="s">
        <v>106</v>
      </c>
      <c r="P43" s="231" t="s">
        <v>106</v>
      </c>
      <c r="Q43" s="231" t="s">
        <v>106</v>
      </c>
      <c r="R43" s="234" t="s">
        <v>106</v>
      </c>
      <c r="S43" s="234" t="s">
        <v>106</v>
      </c>
      <c r="T43" s="267" t="s">
        <v>106</v>
      </c>
      <c r="U43" s="268" t="s">
        <v>106</v>
      </c>
      <c r="V43" s="374" t="s">
        <v>106</v>
      </c>
      <c r="W43" s="374"/>
      <c r="X43" s="374"/>
      <c r="Y43" s="374"/>
      <c r="Z43" s="374"/>
      <c r="AA43" s="374"/>
      <c r="AB43" s="194"/>
      <c r="AC43" s="194"/>
      <c r="AD43" s="194"/>
      <c r="AE43" s="194"/>
      <c r="AF43" s="194"/>
    </row>
    <row r="44" spans="1:32" x14ac:dyDescent="0.2">
      <c r="A44" s="260" t="s">
        <v>194</v>
      </c>
      <c r="B44" s="269">
        <v>3</v>
      </c>
      <c r="C44" s="269" t="s">
        <v>106</v>
      </c>
      <c r="D44" s="269" t="s">
        <v>106</v>
      </c>
      <c r="E44" s="209">
        <v>24</v>
      </c>
      <c r="F44" s="208" t="s">
        <v>99</v>
      </c>
      <c r="G44" s="234">
        <f>ROUND(619*Belarus*(1-C98),2)</f>
        <v>619</v>
      </c>
      <c r="H44" s="234" t="s">
        <v>106</v>
      </c>
      <c r="I44" s="234" t="s">
        <v>106</v>
      </c>
      <c r="J44" s="234" t="s">
        <v>106</v>
      </c>
      <c r="K44" s="234" t="s">
        <v>106</v>
      </c>
      <c r="L44" s="234" t="s">
        <v>106</v>
      </c>
      <c r="M44" s="234" t="s">
        <v>106</v>
      </c>
      <c r="N44" s="234" t="s">
        <v>106</v>
      </c>
      <c r="O44" s="234" t="s">
        <v>106</v>
      </c>
      <c r="P44" s="231" t="s">
        <v>106</v>
      </c>
      <c r="Q44" s="231" t="s">
        <v>106</v>
      </c>
      <c r="R44" s="234" t="s">
        <v>106</v>
      </c>
      <c r="S44" s="234">
        <f>ROUND(666*Belarus*(1-C98),2)</f>
        <v>666</v>
      </c>
      <c r="T44" s="267">
        <f>ROUND(726*Belarus*(1-C98),2)</f>
        <v>726</v>
      </c>
      <c r="U44" s="268" t="s">
        <v>106</v>
      </c>
      <c r="V44" s="374" t="s">
        <v>106</v>
      </c>
      <c r="W44" s="374"/>
      <c r="X44" s="374"/>
      <c r="Y44" s="374"/>
      <c r="Z44" s="374"/>
      <c r="AA44" s="374"/>
      <c r="AB44" s="194"/>
      <c r="AC44" s="194"/>
      <c r="AD44" s="194"/>
      <c r="AE44" s="194"/>
      <c r="AF44" s="194"/>
    </row>
    <row r="45" spans="1:32" x14ac:dyDescent="0.2">
      <c r="A45" s="260" t="s">
        <v>193</v>
      </c>
      <c r="B45" s="269">
        <v>3</v>
      </c>
      <c r="C45" s="269" t="s">
        <v>106</v>
      </c>
      <c r="D45" s="269" t="s">
        <v>106</v>
      </c>
      <c r="E45" s="209">
        <v>20</v>
      </c>
      <c r="F45" s="208" t="s">
        <v>99</v>
      </c>
      <c r="G45" s="231">
        <f>ROUND(619*Belarus*(1-C98),2)</f>
        <v>619</v>
      </c>
      <c r="H45" s="231" t="s">
        <v>106</v>
      </c>
      <c r="I45" s="231" t="s">
        <v>106</v>
      </c>
      <c r="J45" s="231" t="s">
        <v>106</v>
      </c>
      <c r="K45" s="231" t="s">
        <v>106</v>
      </c>
      <c r="L45" s="231" t="s">
        <v>106</v>
      </c>
      <c r="M45" s="231" t="s">
        <v>106</v>
      </c>
      <c r="N45" s="231" t="s">
        <v>106</v>
      </c>
      <c r="O45" s="231" t="s">
        <v>106</v>
      </c>
      <c r="P45" s="231" t="s">
        <v>106</v>
      </c>
      <c r="Q45" s="231" t="s">
        <v>106</v>
      </c>
      <c r="R45" s="231" t="s">
        <v>106</v>
      </c>
      <c r="S45" s="231">
        <f>ROUND(666*Belarus*(1-C98),2)</f>
        <v>666</v>
      </c>
      <c r="T45" s="267">
        <f>ROUND(587*Belarus*(1-C98),2)</f>
        <v>587</v>
      </c>
      <c r="U45" s="268">
        <f>ROUND(387*Belarus*(1-C98),2)</f>
        <v>387</v>
      </c>
      <c r="V45" s="374" t="s">
        <v>106</v>
      </c>
      <c r="W45" s="374"/>
      <c r="X45" s="374"/>
      <c r="Y45" s="374"/>
      <c r="Z45" s="374"/>
      <c r="AA45" s="374"/>
      <c r="AB45" s="194"/>
      <c r="AC45" s="194"/>
      <c r="AD45" s="194"/>
      <c r="AE45" s="194"/>
      <c r="AF45" s="194"/>
    </row>
    <row r="46" spans="1:32" x14ac:dyDescent="0.2">
      <c r="A46" s="260" t="s">
        <v>59</v>
      </c>
      <c r="B46" s="269">
        <v>3.05</v>
      </c>
      <c r="C46" s="269" t="s">
        <v>106</v>
      </c>
      <c r="D46" s="269" t="s">
        <v>106</v>
      </c>
      <c r="E46" s="209">
        <v>12</v>
      </c>
      <c r="F46" s="208" t="s">
        <v>99</v>
      </c>
      <c r="G46" s="231">
        <f>ROUND(619*Belarus*(1-C98),2)</f>
        <v>619</v>
      </c>
      <c r="H46" s="231" t="s">
        <v>106</v>
      </c>
      <c r="I46" s="231" t="s">
        <v>106</v>
      </c>
      <c r="J46" s="231" t="s">
        <v>106</v>
      </c>
      <c r="K46" s="231" t="s">
        <v>106</v>
      </c>
      <c r="L46" s="231" t="s">
        <v>106</v>
      </c>
      <c r="M46" s="231" t="s">
        <v>106</v>
      </c>
      <c r="N46" s="231" t="s">
        <v>106</v>
      </c>
      <c r="O46" s="231" t="s">
        <v>106</v>
      </c>
      <c r="P46" s="231" t="s">
        <v>106</v>
      </c>
      <c r="Q46" s="231" t="s">
        <v>106</v>
      </c>
      <c r="R46" s="234" t="s">
        <v>106</v>
      </c>
      <c r="S46" s="234">
        <f>ROUND(666*Belarus*(1-C98),2)</f>
        <v>666</v>
      </c>
      <c r="T46" s="267">
        <f>ROUND(726*Belarus*(1-C98),2)</f>
        <v>726</v>
      </c>
      <c r="U46" s="268">
        <f>ROUND(503*Belarus*(1-C98),2)</f>
        <v>503</v>
      </c>
      <c r="V46" s="374" t="s">
        <v>106</v>
      </c>
      <c r="W46" s="374"/>
      <c r="X46" s="374"/>
      <c r="Y46" s="374"/>
      <c r="Z46" s="374"/>
      <c r="AA46" s="374"/>
      <c r="AB46" s="194"/>
      <c r="AC46" s="194"/>
      <c r="AD46" s="194"/>
      <c r="AE46" s="194"/>
      <c r="AF46" s="194"/>
    </row>
    <row r="47" spans="1:32" x14ac:dyDescent="0.2">
      <c r="A47" s="260" t="s">
        <v>192</v>
      </c>
      <c r="B47" s="269">
        <v>3</v>
      </c>
      <c r="C47" s="269" t="s">
        <v>106</v>
      </c>
      <c r="D47" s="269" t="s">
        <v>106</v>
      </c>
      <c r="E47" s="209">
        <v>36</v>
      </c>
      <c r="F47" s="208" t="s">
        <v>99</v>
      </c>
      <c r="G47" s="231">
        <f>ROUND(457*Belarus*(1-C98),2)</f>
        <v>457</v>
      </c>
      <c r="H47" s="231" t="s">
        <v>106</v>
      </c>
      <c r="I47" s="231" t="s">
        <v>106</v>
      </c>
      <c r="J47" s="231" t="s">
        <v>106</v>
      </c>
      <c r="K47" s="231" t="s">
        <v>106</v>
      </c>
      <c r="L47" s="231" t="s">
        <v>106</v>
      </c>
      <c r="M47" s="231" t="s">
        <v>106</v>
      </c>
      <c r="N47" s="231" t="s">
        <v>106</v>
      </c>
      <c r="O47" s="231" t="s">
        <v>106</v>
      </c>
      <c r="P47" s="231" t="s">
        <v>106</v>
      </c>
      <c r="Q47" s="231" t="s">
        <v>106</v>
      </c>
      <c r="R47" s="234" t="s">
        <v>106</v>
      </c>
      <c r="S47" s="234">
        <f>ROUND(476*Belarus*(1-C98),2)</f>
        <v>476</v>
      </c>
      <c r="T47" s="211" t="s">
        <v>106</v>
      </c>
      <c r="U47" s="210" t="s">
        <v>106</v>
      </c>
      <c r="V47" s="374" t="s">
        <v>106</v>
      </c>
      <c r="W47" s="374"/>
      <c r="X47" s="374"/>
      <c r="Y47" s="374"/>
      <c r="Z47" s="374"/>
      <c r="AA47" s="374"/>
      <c r="AB47" s="194"/>
      <c r="AC47" s="194"/>
      <c r="AD47" s="194"/>
      <c r="AE47" s="194"/>
      <c r="AF47" s="194"/>
    </row>
    <row r="48" spans="1:32" x14ac:dyDescent="0.2">
      <c r="A48" s="260" t="s">
        <v>191</v>
      </c>
      <c r="B48" s="269">
        <v>3</v>
      </c>
      <c r="C48" s="269" t="s">
        <v>106</v>
      </c>
      <c r="D48" s="269" t="s">
        <v>106</v>
      </c>
      <c r="E48" s="209">
        <v>60</v>
      </c>
      <c r="F48" s="208" t="s">
        <v>99</v>
      </c>
      <c r="G48" s="231">
        <f>ROUND(264*Belarus*(1-C98),2)</f>
        <v>264</v>
      </c>
      <c r="H48" s="231" t="s">
        <v>106</v>
      </c>
      <c r="I48" s="231" t="s">
        <v>106</v>
      </c>
      <c r="J48" s="231" t="s">
        <v>106</v>
      </c>
      <c r="K48" s="231" t="s">
        <v>106</v>
      </c>
      <c r="L48" s="231" t="s">
        <v>106</v>
      </c>
      <c r="M48" s="231" t="s">
        <v>106</v>
      </c>
      <c r="N48" s="231" t="s">
        <v>106</v>
      </c>
      <c r="O48" s="231" t="s">
        <v>106</v>
      </c>
      <c r="P48" s="231" t="s">
        <v>106</v>
      </c>
      <c r="Q48" s="231" t="s">
        <v>106</v>
      </c>
      <c r="R48" s="234" t="s">
        <v>106</v>
      </c>
      <c r="S48" s="234" t="s">
        <v>106</v>
      </c>
      <c r="T48" s="211" t="s">
        <v>106</v>
      </c>
      <c r="U48" s="210" t="s">
        <v>106</v>
      </c>
      <c r="V48" s="374" t="s">
        <v>106</v>
      </c>
      <c r="W48" s="374"/>
      <c r="X48" s="374"/>
      <c r="Y48" s="374"/>
      <c r="Z48" s="374"/>
      <c r="AA48" s="374"/>
      <c r="AB48" s="194"/>
      <c r="AC48" s="194"/>
      <c r="AD48" s="194"/>
      <c r="AE48" s="194"/>
      <c r="AF48" s="194"/>
    </row>
    <row r="49" spans="1:32" ht="14.25" customHeight="1" x14ac:dyDescent="0.2">
      <c r="A49" s="207" t="s">
        <v>173</v>
      </c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</row>
    <row r="50" spans="1:32" ht="3" customHeight="1" x14ac:dyDescent="0.2">
      <c r="A50" s="206"/>
      <c r="B50" s="205"/>
      <c r="C50" s="205"/>
      <c r="D50" s="205"/>
      <c r="E50" s="204"/>
      <c r="F50" s="200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</row>
    <row r="51" spans="1:32" ht="12.75" hidden="1" customHeight="1" x14ac:dyDescent="0.2">
      <c r="A51" s="206"/>
      <c r="B51" s="205"/>
      <c r="C51" s="205"/>
      <c r="D51" s="205"/>
      <c r="E51" s="204"/>
      <c r="F51" s="200"/>
      <c r="G51" s="196"/>
      <c r="H51" s="196"/>
      <c r="I51" s="196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  <c r="AF51" s="194"/>
    </row>
    <row r="52" spans="1:32" ht="18.75" customHeight="1" thickBot="1" x14ac:dyDescent="0.25">
      <c r="A52" s="404" t="s">
        <v>190</v>
      </c>
      <c r="B52" s="404"/>
      <c r="C52" s="404"/>
      <c r="D52" s="404"/>
      <c r="E52" s="272"/>
      <c r="F52" s="272"/>
      <c r="G52" s="273" t="s">
        <v>189</v>
      </c>
      <c r="H52" s="405">
        <v>43466</v>
      </c>
      <c r="I52" s="405"/>
      <c r="J52" s="194"/>
      <c r="K52" s="194"/>
      <c r="L52" s="203"/>
      <c r="M52" s="193"/>
      <c r="N52" s="193"/>
      <c r="O52" s="193"/>
      <c r="P52" s="193"/>
    </row>
    <row r="53" spans="1:32" ht="15" x14ac:dyDescent="0.25">
      <c r="A53" s="202" t="s">
        <v>96</v>
      </c>
      <c r="B53" s="409" t="s">
        <v>188</v>
      </c>
      <c r="C53" s="409"/>
      <c r="D53" s="409" t="s">
        <v>132</v>
      </c>
      <c r="E53" s="409"/>
      <c r="F53" s="410" t="s">
        <v>187</v>
      </c>
      <c r="G53" s="410"/>
      <c r="H53" s="410" t="s">
        <v>186</v>
      </c>
      <c r="I53" s="410"/>
      <c r="J53" s="196"/>
      <c r="K53" s="194"/>
      <c r="L53" s="198"/>
      <c r="M53" s="193"/>
      <c r="N53" s="193"/>
      <c r="O53" s="193"/>
      <c r="P53" s="198"/>
    </row>
    <row r="54" spans="1:32" ht="12.75" customHeight="1" x14ac:dyDescent="0.2">
      <c r="A54" s="368" t="s">
        <v>185</v>
      </c>
      <c r="B54" s="411" t="s">
        <v>184</v>
      </c>
      <c r="C54" s="411"/>
      <c r="D54" s="412" t="s">
        <v>139</v>
      </c>
      <c r="E54" s="413"/>
      <c r="F54" s="414">
        <f>ROUND(562*Belarus*(1-C93),2)</f>
        <v>562</v>
      </c>
      <c r="G54" s="415"/>
      <c r="H54" s="416">
        <f>F54/(0.246*3)</f>
        <v>761.51761517615182</v>
      </c>
      <c r="I54" s="416"/>
      <c r="J54" s="196"/>
      <c r="K54" s="194"/>
      <c r="L54" s="192"/>
      <c r="M54" s="193"/>
      <c r="N54" s="193"/>
      <c r="O54" s="193"/>
      <c r="P54" s="198"/>
    </row>
    <row r="55" spans="1:32" x14ac:dyDescent="0.2">
      <c r="A55" s="369"/>
      <c r="B55" s="411"/>
      <c r="C55" s="411"/>
      <c r="D55" s="412" t="s">
        <v>144</v>
      </c>
      <c r="E55" s="413"/>
      <c r="F55" s="414">
        <f>ROUND(647*Belarus*(1-C93),2)</f>
        <v>647</v>
      </c>
      <c r="G55" s="415"/>
      <c r="H55" s="416">
        <f>F55/(0.246*3)</f>
        <v>876.69376693766935</v>
      </c>
      <c r="I55" s="416"/>
      <c r="J55" s="196"/>
      <c r="K55" s="194"/>
      <c r="L55" s="192"/>
      <c r="M55" s="193"/>
      <c r="N55" s="193"/>
      <c r="O55" s="193"/>
      <c r="P55" s="198"/>
    </row>
    <row r="56" spans="1:32" ht="12.75" customHeight="1" x14ac:dyDescent="0.2">
      <c r="A56" s="368" t="s">
        <v>183</v>
      </c>
      <c r="B56" s="411" t="s">
        <v>177</v>
      </c>
      <c r="C56" s="411"/>
      <c r="D56" s="412" t="s">
        <v>139</v>
      </c>
      <c r="E56" s="413"/>
      <c r="F56" s="414">
        <f>ROUND(508*Belarus*(1-C94),2)</f>
        <v>508</v>
      </c>
      <c r="G56" s="415"/>
      <c r="H56" s="416">
        <f>F56/(0.303*3)</f>
        <v>558.85588558855886</v>
      </c>
      <c r="I56" s="416"/>
      <c r="J56" s="196"/>
      <c r="K56" s="194"/>
      <c r="L56" s="192"/>
      <c r="M56" s="193"/>
      <c r="N56" s="193"/>
      <c r="O56" s="193"/>
      <c r="P56" s="198"/>
    </row>
    <row r="57" spans="1:32" x14ac:dyDescent="0.2">
      <c r="A57" s="369"/>
      <c r="B57" s="411"/>
      <c r="C57" s="411"/>
      <c r="D57" s="412" t="s">
        <v>144</v>
      </c>
      <c r="E57" s="413"/>
      <c r="F57" s="414">
        <f>ROUND(584*Belarus*(1-C94),2)</f>
        <v>584</v>
      </c>
      <c r="G57" s="415"/>
      <c r="H57" s="416">
        <f>F57/(0.303*3)</f>
        <v>642.4642464246424</v>
      </c>
      <c r="I57" s="416"/>
      <c r="J57" s="196"/>
      <c r="K57" s="194"/>
      <c r="L57" s="192"/>
      <c r="M57" s="193"/>
      <c r="N57" s="193"/>
      <c r="O57" s="193"/>
      <c r="P57" s="198"/>
    </row>
    <row r="58" spans="1:32" ht="15" x14ac:dyDescent="0.2">
      <c r="A58" s="201" t="s">
        <v>182</v>
      </c>
      <c r="B58" s="411" t="s">
        <v>177</v>
      </c>
      <c r="C58" s="411"/>
      <c r="D58" s="411" t="s">
        <v>181</v>
      </c>
      <c r="E58" s="411"/>
      <c r="F58" s="414">
        <f>ROUND(677*Belarus*(1-C94),2)</f>
        <v>677</v>
      </c>
      <c r="G58" s="415"/>
      <c r="H58" s="416">
        <f>F58/(0.303*3)</f>
        <v>744.77447744774474</v>
      </c>
      <c r="I58" s="416"/>
      <c r="J58" s="196"/>
      <c r="K58" s="194"/>
      <c r="L58" s="192"/>
      <c r="M58" s="193"/>
      <c r="N58" s="193"/>
      <c r="O58" s="193"/>
      <c r="P58" s="198"/>
    </row>
    <row r="59" spans="1:32" ht="12.75" customHeight="1" x14ac:dyDescent="0.2">
      <c r="A59" s="368" t="s">
        <v>180</v>
      </c>
      <c r="B59" s="411" t="s">
        <v>179</v>
      </c>
      <c r="C59" s="411"/>
      <c r="D59" s="412" t="s">
        <v>139</v>
      </c>
      <c r="E59" s="413"/>
      <c r="F59" s="414">
        <f>ROUND(370*Belarus*(1-C95),2)</f>
        <v>370</v>
      </c>
      <c r="G59" s="415"/>
      <c r="H59" s="416">
        <f>F59/(0.229*3)</f>
        <v>538.57350800582242</v>
      </c>
      <c r="I59" s="416"/>
      <c r="J59" s="196"/>
      <c r="K59" s="194"/>
      <c r="L59" s="192"/>
      <c r="M59" s="193"/>
      <c r="N59" s="193"/>
      <c r="O59" s="193"/>
      <c r="P59" s="198"/>
    </row>
    <row r="60" spans="1:32" ht="12.75" customHeight="1" x14ac:dyDescent="0.2">
      <c r="A60" s="369"/>
      <c r="B60" s="411"/>
      <c r="C60" s="411"/>
      <c r="D60" s="412" t="s">
        <v>144</v>
      </c>
      <c r="E60" s="413"/>
      <c r="F60" s="414">
        <f>ROUND(424*Belarus*(1-C95),2)</f>
        <v>424</v>
      </c>
      <c r="G60" s="415"/>
      <c r="H60" s="416">
        <f>F60/(0.229*3)</f>
        <v>617.17612809315858</v>
      </c>
      <c r="I60" s="416"/>
      <c r="J60" s="196"/>
      <c r="K60" s="194"/>
      <c r="L60" s="192"/>
      <c r="M60" s="193"/>
      <c r="N60" s="193"/>
      <c r="O60" s="193"/>
      <c r="P60" s="198"/>
    </row>
    <row r="61" spans="1:32" ht="12.75" customHeight="1" x14ac:dyDescent="0.2">
      <c r="A61" s="330" t="s">
        <v>178</v>
      </c>
      <c r="B61" s="423" t="s">
        <v>177</v>
      </c>
      <c r="C61" s="423"/>
      <c r="D61" s="423" t="s">
        <v>144</v>
      </c>
      <c r="E61" s="423"/>
      <c r="F61" s="424">
        <f>ROUND(380*Belarus*(1-C96),2)</f>
        <v>380</v>
      </c>
      <c r="G61" s="424"/>
      <c r="H61" s="416">
        <f>F61/(0.303*3)</f>
        <v>418.04180418041801</v>
      </c>
      <c r="I61" s="416"/>
      <c r="J61" s="196"/>
      <c r="K61" s="194"/>
      <c r="L61" s="192"/>
      <c r="M61" s="193"/>
      <c r="N61" s="193"/>
      <c r="O61" s="193"/>
      <c r="P61" s="198"/>
    </row>
    <row r="62" spans="1:32" x14ac:dyDescent="0.2">
      <c r="A62" s="330"/>
      <c r="B62" s="423" t="s">
        <v>176</v>
      </c>
      <c r="C62" s="423"/>
      <c r="D62" s="423"/>
      <c r="E62" s="423"/>
      <c r="F62" s="424">
        <f>ROUND(191*Belarus*(1-C96),2)</f>
        <v>191</v>
      </c>
      <c r="G62" s="424"/>
      <c r="H62" s="416">
        <f>F62/(0.303*1.5)</f>
        <v>420.24202420242023</v>
      </c>
      <c r="I62" s="416"/>
      <c r="J62" s="195"/>
      <c r="K62" s="194"/>
      <c r="L62" s="192"/>
      <c r="M62" s="193"/>
      <c r="N62" s="193"/>
      <c r="O62" s="193"/>
      <c r="P62" s="198"/>
    </row>
    <row r="63" spans="1:32" x14ac:dyDescent="0.2">
      <c r="A63" s="417" t="s">
        <v>175</v>
      </c>
      <c r="B63" s="417"/>
      <c r="C63" s="417"/>
      <c r="D63" s="417"/>
      <c r="E63" s="417"/>
      <c r="F63" s="417"/>
      <c r="G63" s="417"/>
      <c r="H63" s="417"/>
      <c r="I63" s="417"/>
      <c r="J63" s="195"/>
      <c r="K63" s="194"/>
      <c r="L63" s="192"/>
      <c r="M63" s="193"/>
      <c r="N63" s="193"/>
      <c r="O63" s="193"/>
      <c r="P63" s="198"/>
    </row>
    <row r="64" spans="1:32" x14ac:dyDescent="0.2">
      <c r="A64" s="417" t="s">
        <v>174</v>
      </c>
      <c r="B64" s="417"/>
      <c r="C64" s="417"/>
      <c r="D64" s="417"/>
      <c r="E64" s="417"/>
      <c r="F64" s="417"/>
      <c r="G64" s="417"/>
      <c r="H64" s="417"/>
      <c r="I64" s="417"/>
      <c r="J64" s="195"/>
      <c r="K64" s="194"/>
      <c r="L64" s="192"/>
      <c r="M64" s="193"/>
      <c r="N64" s="193"/>
      <c r="O64" s="193"/>
      <c r="P64" s="198"/>
    </row>
    <row r="65" spans="1:16" x14ac:dyDescent="0.2">
      <c r="A65" s="417" t="s">
        <v>173</v>
      </c>
      <c r="B65" s="417"/>
      <c r="C65" s="417"/>
      <c r="D65" s="417"/>
      <c r="E65" s="417"/>
      <c r="F65" s="417"/>
      <c r="G65" s="417"/>
      <c r="H65" s="417"/>
      <c r="I65" s="417"/>
      <c r="J65" s="195"/>
      <c r="K65" s="194"/>
      <c r="L65" s="192"/>
      <c r="M65" s="193"/>
      <c r="N65" s="193"/>
      <c r="O65" s="193"/>
      <c r="P65" s="200"/>
    </row>
    <row r="66" spans="1:16" ht="12.75" customHeight="1" x14ac:dyDescent="0.2">
      <c r="A66" s="199"/>
      <c r="B66" s="196"/>
      <c r="C66" s="196"/>
      <c r="D66" s="196"/>
      <c r="E66" s="196"/>
      <c r="F66" s="265"/>
      <c r="G66" s="265"/>
      <c r="H66" s="265"/>
      <c r="I66" s="265"/>
      <c r="J66" s="195"/>
      <c r="K66" s="194"/>
      <c r="L66" s="192"/>
      <c r="M66" s="193"/>
      <c r="N66" s="193"/>
      <c r="O66" s="193"/>
      <c r="P66" s="198"/>
    </row>
    <row r="67" spans="1:16" ht="18.75" thickBot="1" x14ac:dyDescent="0.25">
      <c r="A67" s="418" t="s">
        <v>291</v>
      </c>
      <c r="B67" s="418"/>
      <c r="C67" s="418"/>
      <c r="D67" s="418"/>
      <c r="E67" s="418"/>
      <c r="F67" s="418"/>
      <c r="G67" s="418"/>
      <c r="H67" s="418"/>
      <c r="I67" s="418"/>
      <c r="J67" s="195"/>
      <c r="K67" s="194"/>
      <c r="L67" s="197"/>
      <c r="M67" s="197"/>
      <c r="N67" s="197"/>
      <c r="O67" s="197"/>
      <c r="P67" s="197"/>
    </row>
    <row r="68" spans="1:16" ht="12.75" customHeight="1" x14ac:dyDescent="0.2">
      <c r="A68" s="274" t="s">
        <v>96</v>
      </c>
      <c r="B68" s="419" t="s">
        <v>290</v>
      </c>
      <c r="C68" s="419"/>
      <c r="D68" s="419"/>
      <c r="E68" s="419"/>
      <c r="F68" s="419"/>
      <c r="G68" s="419"/>
      <c r="H68" s="420" t="s">
        <v>292</v>
      </c>
      <c r="I68" s="420"/>
      <c r="J68" s="195"/>
      <c r="K68" s="194"/>
      <c r="L68" s="197"/>
      <c r="M68" s="197"/>
      <c r="N68" s="197"/>
      <c r="O68" s="197"/>
      <c r="P68" s="197"/>
    </row>
    <row r="69" spans="1:16" ht="12.75" customHeight="1" x14ac:dyDescent="0.2">
      <c r="A69" s="421" t="s">
        <v>293</v>
      </c>
      <c r="B69" s="421" t="s">
        <v>294</v>
      </c>
      <c r="C69" s="421"/>
      <c r="D69" s="421"/>
      <c r="E69" s="421"/>
      <c r="F69" s="421"/>
      <c r="G69" s="421"/>
      <c r="H69" s="422">
        <f>3230*Belarus</f>
        <v>3230</v>
      </c>
      <c r="I69" s="422"/>
      <c r="J69" s="195"/>
      <c r="K69" s="194"/>
      <c r="L69" s="192"/>
      <c r="M69" s="192"/>
      <c r="N69" s="192"/>
      <c r="O69" s="192"/>
      <c r="P69" s="192"/>
    </row>
    <row r="70" spans="1:16" x14ac:dyDescent="0.2">
      <c r="A70" s="421"/>
      <c r="B70" s="421"/>
      <c r="C70" s="421"/>
      <c r="D70" s="421"/>
      <c r="E70" s="421"/>
      <c r="F70" s="421"/>
      <c r="G70" s="421"/>
      <c r="H70" s="422"/>
      <c r="I70" s="422"/>
      <c r="J70" s="195"/>
      <c r="K70" s="194"/>
    </row>
    <row r="71" spans="1:16" x14ac:dyDescent="0.2">
      <c r="A71" s="275" t="s">
        <v>295</v>
      </c>
      <c r="B71" s="421" t="s">
        <v>296</v>
      </c>
      <c r="C71" s="421"/>
      <c r="D71" s="421"/>
      <c r="E71" s="421"/>
      <c r="F71" s="421"/>
      <c r="G71" s="421"/>
      <c r="H71" s="422">
        <f>6190*Belarus</f>
        <v>6190</v>
      </c>
      <c r="I71" s="422"/>
      <c r="J71" s="195"/>
      <c r="K71" s="194"/>
    </row>
    <row r="72" spans="1:16" x14ac:dyDescent="0.2">
      <c r="A72" s="421" t="s">
        <v>297</v>
      </c>
      <c r="B72" s="421" t="s">
        <v>298</v>
      </c>
      <c r="C72" s="421"/>
      <c r="D72" s="421"/>
      <c r="E72" s="421"/>
      <c r="F72" s="421"/>
      <c r="G72" s="421"/>
      <c r="H72" s="422">
        <f>1030*Belarus</f>
        <v>1030</v>
      </c>
      <c r="I72" s="422"/>
      <c r="J72" s="195"/>
      <c r="K72" s="194"/>
    </row>
    <row r="73" spans="1:16" x14ac:dyDescent="0.2">
      <c r="A73" s="421"/>
      <c r="B73" s="421"/>
      <c r="C73" s="421"/>
      <c r="D73" s="421"/>
      <c r="E73" s="421"/>
      <c r="F73" s="421"/>
      <c r="G73" s="421"/>
      <c r="H73" s="422"/>
      <c r="I73" s="422"/>
      <c r="J73" s="195"/>
      <c r="K73" s="194"/>
    </row>
    <row r="74" spans="1:16" x14ac:dyDescent="0.2">
      <c r="A74" s="421" t="s">
        <v>299</v>
      </c>
      <c r="B74" s="421" t="s">
        <v>300</v>
      </c>
      <c r="C74" s="421"/>
      <c r="D74" s="421"/>
      <c r="E74" s="421"/>
      <c r="F74" s="421"/>
      <c r="G74" s="421"/>
      <c r="H74" s="422">
        <f>2550*Belarus</f>
        <v>2550</v>
      </c>
      <c r="I74" s="422"/>
      <c r="J74" s="195"/>
      <c r="K74" s="194"/>
    </row>
    <row r="75" spans="1:16" x14ac:dyDescent="0.2">
      <c r="A75" s="421"/>
      <c r="B75" s="421"/>
      <c r="C75" s="421"/>
      <c r="D75" s="421"/>
      <c r="E75" s="421"/>
      <c r="F75" s="421"/>
      <c r="G75" s="421"/>
      <c r="H75" s="422"/>
      <c r="I75" s="422"/>
      <c r="J75" s="195"/>
      <c r="K75" s="194"/>
    </row>
    <row r="76" spans="1:16" x14ac:dyDescent="0.2">
      <c r="A76" s="421" t="s">
        <v>301</v>
      </c>
      <c r="B76" s="421" t="s">
        <v>302</v>
      </c>
      <c r="C76" s="421"/>
      <c r="D76" s="421"/>
      <c r="E76" s="421"/>
      <c r="F76" s="421"/>
      <c r="G76" s="421"/>
      <c r="H76" s="422">
        <f>1589*Belarus</f>
        <v>1589</v>
      </c>
      <c r="I76" s="422"/>
      <c r="J76" s="195"/>
      <c r="K76" s="194"/>
    </row>
    <row r="77" spans="1:16" x14ac:dyDescent="0.2">
      <c r="A77" s="421"/>
      <c r="B77" s="421"/>
      <c r="C77" s="421"/>
      <c r="D77" s="421"/>
      <c r="E77" s="421"/>
      <c r="F77" s="421"/>
      <c r="G77" s="421"/>
      <c r="H77" s="422"/>
      <c r="I77" s="422"/>
      <c r="J77" s="195"/>
      <c r="K77" s="194"/>
    </row>
    <row r="78" spans="1:16" x14ac:dyDescent="0.2">
      <c r="A78" s="196"/>
      <c r="B78" s="196"/>
      <c r="C78" s="196"/>
      <c r="D78" s="196"/>
      <c r="E78" s="196"/>
      <c r="F78" s="196"/>
      <c r="G78" s="196"/>
      <c r="H78" s="196"/>
      <c r="I78" s="196"/>
      <c r="J78" s="195"/>
      <c r="K78" s="194"/>
    </row>
    <row r="79" spans="1:16" x14ac:dyDescent="0.2">
      <c r="A79" s="196"/>
      <c r="B79" s="196"/>
      <c r="C79" s="196"/>
      <c r="D79" s="196"/>
      <c r="E79" s="196"/>
      <c r="F79" s="196"/>
      <c r="G79" s="196"/>
      <c r="H79" s="196"/>
      <c r="I79" s="196"/>
      <c r="J79" s="195"/>
      <c r="K79" s="194"/>
    </row>
    <row r="80" spans="1:16" x14ac:dyDescent="0.2">
      <c r="A80" s="196"/>
      <c r="B80" s="196"/>
      <c r="C80" s="196"/>
      <c r="D80" s="196"/>
      <c r="E80" s="196"/>
      <c r="F80" s="196"/>
      <c r="G80" s="196"/>
      <c r="H80" s="196"/>
      <c r="I80" s="196"/>
      <c r="J80" s="195"/>
      <c r="K80" s="194"/>
    </row>
  </sheetData>
  <sheetProtection password="CC3B" sheet="1" objects="1" scenarios="1" selectLockedCells="1" selectUnlockedCells="1"/>
  <mergeCells count="123">
    <mergeCell ref="A76:A77"/>
    <mergeCell ref="B76:G77"/>
    <mergeCell ref="H76:I77"/>
    <mergeCell ref="B71:G71"/>
    <mergeCell ref="H71:I71"/>
    <mergeCell ref="A72:A73"/>
    <mergeCell ref="B72:G73"/>
    <mergeCell ref="H72:I73"/>
    <mergeCell ref="A74:A75"/>
    <mergeCell ref="B74:G75"/>
    <mergeCell ref="H74:I75"/>
    <mergeCell ref="A67:I67"/>
    <mergeCell ref="B68:G68"/>
    <mergeCell ref="H68:I68"/>
    <mergeCell ref="A69:A70"/>
    <mergeCell ref="B69:G70"/>
    <mergeCell ref="H69:I70"/>
    <mergeCell ref="A65:I65"/>
    <mergeCell ref="A61:A62"/>
    <mergeCell ref="B61:C61"/>
    <mergeCell ref="D61:E62"/>
    <mergeCell ref="F61:G61"/>
    <mergeCell ref="H61:I61"/>
    <mergeCell ref="B62:C62"/>
    <mergeCell ref="F62:G62"/>
    <mergeCell ref="H62:I62"/>
    <mergeCell ref="F58:G58"/>
    <mergeCell ref="H58:I58"/>
    <mergeCell ref="A63:I63"/>
    <mergeCell ref="A64:I64"/>
    <mergeCell ref="H56:I56"/>
    <mergeCell ref="D57:E57"/>
    <mergeCell ref="A59:A60"/>
    <mergeCell ref="B59:C60"/>
    <mergeCell ref="D59:E59"/>
    <mergeCell ref="F59:G59"/>
    <mergeCell ref="H59:I59"/>
    <mergeCell ref="D60:E60"/>
    <mergeCell ref="F60:G60"/>
    <mergeCell ref="H60:I60"/>
    <mergeCell ref="F57:G57"/>
    <mergeCell ref="H57:I57"/>
    <mergeCell ref="B58:C58"/>
    <mergeCell ref="D58:E58"/>
    <mergeCell ref="A56:A57"/>
    <mergeCell ref="B56:C57"/>
    <mergeCell ref="D56:E56"/>
    <mergeCell ref="F56:G56"/>
    <mergeCell ref="B53:C53"/>
    <mergeCell ref="D53:E53"/>
    <mergeCell ref="F53:G53"/>
    <mergeCell ref="H53:I53"/>
    <mergeCell ref="A54:A55"/>
    <mergeCell ref="B54:C55"/>
    <mergeCell ref="D54:E54"/>
    <mergeCell ref="F54:G54"/>
    <mergeCell ref="H54:I54"/>
    <mergeCell ref="D55:E55"/>
    <mergeCell ref="F55:G55"/>
    <mergeCell ref="H55:I55"/>
    <mergeCell ref="V47:AA47"/>
    <mergeCell ref="V48:AA48"/>
    <mergeCell ref="A52:D52"/>
    <mergeCell ref="H52:I52"/>
    <mergeCell ref="A34:AA34"/>
    <mergeCell ref="V43:AA43"/>
    <mergeCell ref="V44:AA44"/>
    <mergeCell ref="V45:AA45"/>
    <mergeCell ref="V46:AA46"/>
    <mergeCell ref="AC27:AF27"/>
    <mergeCell ref="A28:AA28"/>
    <mergeCell ref="Z29:AA29"/>
    <mergeCell ref="A30:F32"/>
    <mergeCell ref="G30:AA30"/>
    <mergeCell ref="G31:S31"/>
    <mergeCell ref="T31:U32"/>
    <mergeCell ref="V31:AA32"/>
    <mergeCell ref="G32:O32"/>
    <mergeCell ref="P32:R32"/>
    <mergeCell ref="S32:S33"/>
    <mergeCell ref="A22:A23"/>
    <mergeCell ref="B22:B23"/>
    <mergeCell ref="C22:C23"/>
    <mergeCell ref="D22:D23"/>
    <mergeCell ref="E22:E23"/>
    <mergeCell ref="A24:A25"/>
    <mergeCell ref="B24:B25"/>
    <mergeCell ref="C24:C25"/>
    <mergeCell ref="D24:D25"/>
    <mergeCell ref="E24:E25"/>
    <mergeCell ref="A18:A19"/>
    <mergeCell ref="B18:B19"/>
    <mergeCell ref="C18:C19"/>
    <mergeCell ref="D18:D19"/>
    <mergeCell ref="E18:E19"/>
    <mergeCell ref="A20:A21"/>
    <mergeCell ref="B20:B21"/>
    <mergeCell ref="C20:C21"/>
    <mergeCell ref="D20:D21"/>
    <mergeCell ref="E20:E21"/>
    <mergeCell ref="A13:AA13"/>
    <mergeCell ref="A14:A15"/>
    <mergeCell ref="B14:B15"/>
    <mergeCell ref="C14:C15"/>
    <mergeCell ref="D14:D15"/>
    <mergeCell ref="E14:E15"/>
    <mergeCell ref="A16:A17"/>
    <mergeCell ref="B16:B17"/>
    <mergeCell ref="C16:C17"/>
    <mergeCell ref="D16:D17"/>
    <mergeCell ref="E16:E17"/>
    <mergeCell ref="A6:C6"/>
    <mergeCell ref="A7:U7"/>
    <mergeCell ref="Z7:AA7"/>
    <mergeCell ref="Z8:AA8"/>
    <mergeCell ref="A9:F11"/>
    <mergeCell ref="G9:AA9"/>
    <mergeCell ref="G10:S10"/>
    <mergeCell ref="T10:U11"/>
    <mergeCell ref="V10:AA11"/>
    <mergeCell ref="G11:O11"/>
    <mergeCell ref="P11:R11"/>
    <mergeCell ref="S11:S12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3"/>
  <sheetViews>
    <sheetView topLeftCell="A10" zoomScale="80" zoomScaleNormal="80" workbookViewId="0">
      <selection activeCell="H26" sqref="H26"/>
    </sheetView>
  </sheetViews>
  <sheetFormatPr defaultColWidth="9.28515625" defaultRowHeight="12.75" x14ac:dyDescent="0.2"/>
  <cols>
    <col min="1" max="1" width="9.28515625" style="43"/>
    <col min="2" max="2" width="36.5703125" style="43" customWidth="1"/>
    <col min="3" max="3" width="13.42578125" style="43" customWidth="1"/>
    <col min="4" max="4" width="7.85546875" style="43" customWidth="1"/>
    <col min="5" max="5" width="8.140625" style="43" customWidth="1"/>
    <col min="6" max="6" width="6.42578125" style="43" customWidth="1"/>
    <col min="7" max="7" width="26.28515625" style="43" customWidth="1"/>
    <col min="8" max="8" width="19.140625" style="43" customWidth="1"/>
    <col min="9" max="16384" width="9.28515625" style="43"/>
  </cols>
  <sheetData>
    <row r="2" spans="2:8" ht="23.25" customHeight="1" x14ac:dyDescent="0.3">
      <c r="E2" s="44" t="s">
        <v>86</v>
      </c>
      <c r="F2" s="45"/>
      <c r="G2" s="45"/>
      <c r="H2" s="45"/>
    </row>
    <row r="3" spans="2:8" ht="20.25" customHeight="1" x14ac:dyDescent="0.3">
      <c r="E3" s="46" t="s">
        <v>87</v>
      </c>
      <c r="F3" s="45"/>
      <c r="G3" s="45"/>
      <c r="H3" s="45"/>
    </row>
    <row r="4" spans="2:8" ht="20.25" customHeight="1" x14ac:dyDescent="0.3">
      <c r="E4" s="46" t="s">
        <v>88</v>
      </c>
      <c r="F4" s="45"/>
      <c r="G4" s="45"/>
      <c r="H4" s="45"/>
    </row>
    <row r="5" spans="2:8" ht="23.25" customHeight="1" x14ac:dyDescent="0.3">
      <c r="E5" s="47" t="s">
        <v>89</v>
      </c>
      <c r="F5" s="45"/>
      <c r="G5" s="45"/>
      <c r="H5" s="45"/>
    </row>
    <row r="6" spans="2:8" ht="24.75" customHeight="1" x14ac:dyDescent="0.3">
      <c r="B6" s="443" t="s">
        <v>90</v>
      </c>
      <c r="C6" s="443"/>
      <c r="D6" s="443"/>
      <c r="E6" s="46" t="s">
        <v>91</v>
      </c>
      <c r="F6" s="48"/>
      <c r="G6" s="48"/>
      <c r="H6" s="48"/>
    </row>
    <row r="7" spans="2:8" ht="24.75" customHeight="1" x14ac:dyDescent="0.3">
      <c r="B7" s="443" t="s">
        <v>92</v>
      </c>
      <c r="C7" s="443"/>
      <c r="D7" s="443"/>
      <c r="E7" s="47" t="s">
        <v>93</v>
      </c>
      <c r="F7" s="48"/>
      <c r="G7" s="48"/>
      <c r="H7" s="48"/>
    </row>
    <row r="8" spans="2:8" ht="24.75" customHeight="1" x14ac:dyDescent="0.3">
      <c r="B8" s="443" t="s">
        <v>94</v>
      </c>
      <c r="C8" s="443"/>
      <c r="D8" s="443"/>
      <c r="E8" s="47" t="s">
        <v>95</v>
      </c>
      <c r="F8" s="48"/>
      <c r="G8" s="48"/>
      <c r="H8" s="48"/>
    </row>
    <row r="9" spans="2:8" ht="24.75" customHeight="1" x14ac:dyDescent="0.2">
      <c r="E9" s="48"/>
      <c r="F9" s="48"/>
      <c r="G9" s="48"/>
      <c r="H9" s="48"/>
    </row>
    <row r="10" spans="2:8" ht="24.75" customHeight="1" x14ac:dyDescent="0.2">
      <c r="E10" s="48"/>
      <c r="F10" s="48"/>
      <c r="G10" s="48"/>
      <c r="H10" s="48"/>
    </row>
    <row r="11" spans="2:8" x14ac:dyDescent="0.2">
      <c r="G11" s="43" t="s">
        <v>310</v>
      </c>
    </row>
    <row r="12" spans="2:8" ht="12.75" customHeight="1" x14ac:dyDescent="0.2">
      <c r="B12" s="444" t="s">
        <v>120</v>
      </c>
      <c r="C12" s="445"/>
      <c r="D12" s="445"/>
      <c r="E12" s="445"/>
      <c r="F12" s="445"/>
      <c r="G12" s="445"/>
      <c r="H12" s="446"/>
    </row>
    <row r="13" spans="2:8" ht="61.5" customHeight="1" x14ac:dyDescent="0.2">
      <c r="B13" s="447"/>
      <c r="C13" s="448"/>
      <c r="D13" s="448"/>
      <c r="E13" s="448"/>
      <c r="F13" s="448"/>
      <c r="G13" s="448"/>
      <c r="H13" s="449"/>
    </row>
    <row r="14" spans="2:8" ht="3.75" customHeight="1" x14ac:dyDescent="0.2">
      <c r="C14" s="49"/>
      <c r="D14" s="49"/>
      <c r="E14" s="49"/>
      <c r="F14" s="49"/>
      <c r="G14" s="50"/>
      <c r="H14" s="49"/>
    </row>
    <row r="15" spans="2:8" ht="17.25" hidden="1" customHeight="1" x14ac:dyDescent="0.2">
      <c r="B15" s="49"/>
      <c r="C15" s="49"/>
      <c r="D15" s="49"/>
      <c r="E15" s="49"/>
      <c r="F15" s="49"/>
      <c r="G15" s="51"/>
      <c r="H15" s="51"/>
    </row>
    <row r="16" spans="2:8" ht="12.75" customHeight="1" x14ac:dyDescent="0.2">
      <c r="B16" s="450" t="s">
        <v>96</v>
      </c>
      <c r="C16" s="451" t="s">
        <v>105</v>
      </c>
      <c r="D16" s="451" t="s">
        <v>62</v>
      </c>
      <c r="E16" s="451"/>
      <c r="F16" s="451"/>
      <c r="G16" s="454" t="s">
        <v>63</v>
      </c>
      <c r="H16" s="452" t="s">
        <v>130</v>
      </c>
    </row>
    <row r="17" spans="2:8" ht="28.5" customHeight="1" x14ac:dyDescent="0.2">
      <c r="B17" s="450"/>
      <c r="C17" s="451"/>
      <c r="D17" s="451"/>
      <c r="E17" s="451"/>
      <c r="F17" s="451"/>
      <c r="G17" s="455"/>
      <c r="H17" s="453"/>
    </row>
    <row r="18" spans="2:8" ht="91.5" customHeight="1" x14ac:dyDescent="0.2">
      <c r="B18" s="54" t="s">
        <v>112</v>
      </c>
      <c r="C18" s="55">
        <v>20</v>
      </c>
      <c r="D18" s="435" t="s">
        <v>113</v>
      </c>
      <c r="E18" s="435"/>
      <c r="F18" s="435"/>
      <c r="G18" s="56" t="s">
        <v>119</v>
      </c>
      <c r="H18" s="57">
        <v>232</v>
      </c>
    </row>
    <row r="19" spans="2:8" ht="126.75" customHeight="1" x14ac:dyDescent="0.2">
      <c r="B19" s="59" t="s">
        <v>114</v>
      </c>
      <c r="C19" s="55">
        <v>12</v>
      </c>
      <c r="D19" s="435" t="s">
        <v>115</v>
      </c>
      <c r="E19" s="435"/>
      <c r="F19" s="435"/>
      <c r="G19" s="56" t="s">
        <v>118</v>
      </c>
      <c r="H19" s="57">
        <v>267</v>
      </c>
    </row>
    <row r="20" spans="2:8" ht="123.75" customHeight="1" x14ac:dyDescent="0.2">
      <c r="B20" s="59" t="s">
        <v>121</v>
      </c>
      <c r="C20" s="55">
        <v>20</v>
      </c>
      <c r="D20" s="436" t="s">
        <v>116</v>
      </c>
      <c r="E20" s="437"/>
      <c r="F20" s="438"/>
      <c r="G20" s="56" t="s">
        <v>117</v>
      </c>
      <c r="H20" s="57">
        <v>258</v>
      </c>
    </row>
    <row r="21" spans="2:8" ht="34.5" customHeight="1" x14ac:dyDescent="0.2">
      <c r="B21" s="440" t="s">
        <v>124</v>
      </c>
      <c r="C21" s="441"/>
      <c r="D21" s="441"/>
      <c r="E21" s="441"/>
      <c r="F21" s="441"/>
      <c r="G21" s="441"/>
      <c r="H21" s="442"/>
    </row>
    <row r="22" spans="2:8" ht="37.5" customHeight="1" x14ac:dyDescent="0.2">
      <c r="B22" s="101" t="s">
        <v>12</v>
      </c>
      <c r="C22" s="61">
        <v>20</v>
      </c>
      <c r="D22" s="439">
        <v>3000</v>
      </c>
      <c r="E22" s="439"/>
      <c r="F22" s="439"/>
      <c r="G22" s="62"/>
      <c r="H22" s="63">
        <v>505</v>
      </c>
    </row>
    <row r="23" spans="2:8" ht="37.5" customHeight="1" x14ac:dyDescent="0.2">
      <c r="B23" s="100" t="s">
        <v>59</v>
      </c>
      <c r="C23" s="65">
        <v>10</v>
      </c>
      <c r="D23" s="433">
        <v>3000</v>
      </c>
      <c r="E23" s="433"/>
      <c r="F23" s="433"/>
      <c r="G23" s="103"/>
      <c r="H23" s="104">
        <v>582</v>
      </c>
    </row>
    <row r="24" spans="2:8" ht="32.25" customHeight="1" x14ac:dyDescent="0.2">
      <c r="B24" s="100" t="s">
        <v>16</v>
      </c>
      <c r="C24" s="65">
        <v>10</v>
      </c>
      <c r="D24" s="433">
        <v>3000</v>
      </c>
      <c r="E24" s="433"/>
      <c r="F24" s="433"/>
      <c r="G24" s="105"/>
      <c r="H24" s="104">
        <v>639</v>
      </c>
    </row>
    <row r="25" spans="2:8" ht="32.25" customHeight="1" x14ac:dyDescent="0.2">
      <c r="B25" s="99" t="s">
        <v>17</v>
      </c>
      <c r="C25" s="61">
        <v>20</v>
      </c>
      <c r="D25" s="434">
        <v>3000</v>
      </c>
      <c r="E25" s="434"/>
      <c r="F25" s="434"/>
      <c r="G25" s="106"/>
      <c r="H25" s="107">
        <v>505</v>
      </c>
    </row>
    <row r="26" spans="2:8" ht="31.5" customHeight="1" x14ac:dyDescent="0.4">
      <c r="B26" s="98" t="s">
        <v>123</v>
      </c>
      <c r="C26" s="97">
        <v>40</v>
      </c>
      <c r="D26" s="425">
        <v>3000</v>
      </c>
      <c r="E26" s="426"/>
      <c r="F26" s="427"/>
      <c r="G26" s="94"/>
      <c r="H26" s="102">
        <v>203</v>
      </c>
    </row>
    <row r="27" spans="2:8" ht="46.5" customHeight="1" x14ac:dyDescent="0.4">
      <c r="B27" s="428" t="s">
        <v>122</v>
      </c>
      <c r="C27" s="429"/>
      <c r="D27" s="429"/>
      <c r="E27" s="429"/>
      <c r="F27" s="429"/>
      <c r="G27" s="429"/>
      <c r="H27" s="430"/>
    </row>
    <row r="28" spans="2:8" ht="37.5" customHeight="1" x14ac:dyDescent="0.4">
      <c r="B28" s="95" t="s">
        <v>125</v>
      </c>
      <c r="C28" s="97">
        <v>15</v>
      </c>
      <c r="D28" s="425">
        <v>3000</v>
      </c>
      <c r="E28" s="426"/>
      <c r="F28" s="427"/>
      <c r="G28" s="96"/>
      <c r="H28" s="102">
        <v>705</v>
      </c>
    </row>
    <row r="29" spans="2:8" ht="34.5" customHeight="1" x14ac:dyDescent="0.4">
      <c r="B29" s="95" t="s">
        <v>126</v>
      </c>
      <c r="C29" s="94"/>
      <c r="D29" s="425">
        <v>3000</v>
      </c>
      <c r="E29" s="426"/>
      <c r="F29" s="427"/>
      <c r="G29" s="431" t="s">
        <v>131</v>
      </c>
      <c r="H29" s="432"/>
    </row>
    <row r="30" spans="2:8" ht="36" customHeight="1" x14ac:dyDescent="0.4">
      <c r="B30" s="95" t="s">
        <v>127</v>
      </c>
      <c r="C30" s="94"/>
      <c r="D30" s="425">
        <v>3000</v>
      </c>
      <c r="E30" s="426"/>
      <c r="F30" s="427"/>
      <c r="G30" s="431" t="s">
        <v>131</v>
      </c>
      <c r="H30" s="432"/>
    </row>
    <row r="31" spans="2:8" ht="39" customHeight="1" x14ac:dyDescent="0.4">
      <c r="B31" s="95" t="s">
        <v>128</v>
      </c>
      <c r="C31" s="97">
        <v>10</v>
      </c>
      <c r="D31" s="425">
        <v>3000</v>
      </c>
      <c r="E31" s="426"/>
      <c r="F31" s="427"/>
      <c r="G31" s="96"/>
      <c r="H31" s="102">
        <v>705</v>
      </c>
    </row>
    <row r="32" spans="2:8" ht="34.5" customHeight="1" x14ac:dyDescent="0.4">
      <c r="B32" s="95" t="s">
        <v>129</v>
      </c>
      <c r="C32" s="94"/>
      <c r="D32" s="425">
        <v>3000</v>
      </c>
      <c r="E32" s="426"/>
      <c r="F32" s="427"/>
      <c r="G32" s="431" t="s">
        <v>131</v>
      </c>
      <c r="H32" s="432"/>
    </row>
    <row r="33" ht="50.1" customHeight="1" x14ac:dyDescent="0.2"/>
  </sheetData>
  <sheetProtection password="CC3B" sheet="1" objects="1" scenarios="1" selectLockedCells="1" selectUnlockedCells="1"/>
  <mergeCells count="27">
    <mergeCell ref="B6:D6"/>
    <mergeCell ref="B7:D7"/>
    <mergeCell ref="B8:D8"/>
    <mergeCell ref="B12:H13"/>
    <mergeCell ref="B16:B17"/>
    <mergeCell ref="C16:C17"/>
    <mergeCell ref="D16:F17"/>
    <mergeCell ref="H16:H17"/>
    <mergeCell ref="G16:G17"/>
    <mergeCell ref="D23:F23"/>
    <mergeCell ref="D24:F24"/>
    <mergeCell ref="D25:F25"/>
    <mergeCell ref="D18:F18"/>
    <mergeCell ref="D19:F19"/>
    <mergeCell ref="D20:F20"/>
    <mergeCell ref="D22:F22"/>
    <mergeCell ref="B21:H21"/>
    <mergeCell ref="D26:F26"/>
    <mergeCell ref="B27:H27"/>
    <mergeCell ref="G32:H32"/>
    <mergeCell ref="G29:H29"/>
    <mergeCell ref="G30:H30"/>
    <mergeCell ref="D28:F28"/>
    <mergeCell ref="D29:F29"/>
    <mergeCell ref="D30:F30"/>
    <mergeCell ref="D31:F31"/>
    <mergeCell ref="D32:F32"/>
  </mergeCells>
  <pageMargins left="0.78749999999999998" right="0.78749999999999998" top="1.0249999999999999" bottom="1.0249999999999999" header="0.78749999999999998" footer="0.78749999999999998"/>
  <pageSetup paperSize="9" scale="45" orientation="portrait" useFirstPageNumber="1" horizontalDpi="300" verticalDpi="300" r:id="rId1"/>
  <headerFooter alignWithMargins="0">
    <oddHeader>&amp;C&amp;A</oddHeader>
    <oddFooter>&amp;CPage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4"/>
  <sheetViews>
    <sheetView topLeftCell="A27" zoomScale="80" zoomScaleNormal="80" workbookViewId="0">
      <selection activeCell="G25" sqref="G25"/>
    </sheetView>
  </sheetViews>
  <sheetFormatPr defaultColWidth="9.28515625" defaultRowHeight="12.75" x14ac:dyDescent="0.2"/>
  <cols>
    <col min="1" max="1" width="36.5703125" style="43" customWidth="1"/>
    <col min="2" max="2" width="13.42578125" style="43" customWidth="1"/>
    <col min="3" max="3" width="7.85546875" style="43" customWidth="1"/>
    <col min="4" max="4" width="8.140625" style="43" customWidth="1"/>
    <col min="5" max="5" width="6.42578125" style="43" customWidth="1"/>
    <col min="6" max="6" width="26.28515625" style="43" customWidth="1"/>
    <col min="7" max="7" width="19.140625" style="43" customWidth="1"/>
    <col min="8" max="8" width="19.28515625" style="43" customWidth="1"/>
    <col min="9" max="9" width="19.7109375" style="43" customWidth="1"/>
    <col min="10" max="16384" width="9.28515625" style="43"/>
  </cols>
  <sheetData>
    <row r="2" spans="1:9" ht="23.25" customHeight="1" x14ac:dyDescent="0.3">
      <c r="D2" s="44" t="s">
        <v>86</v>
      </c>
      <c r="E2" s="45"/>
      <c r="F2" s="45"/>
      <c r="G2" s="45"/>
      <c r="H2" s="45"/>
    </row>
    <row r="3" spans="1:9" ht="20.25" customHeight="1" x14ac:dyDescent="0.3">
      <c r="D3" s="46" t="s">
        <v>87</v>
      </c>
      <c r="E3" s="45"/>
      <c r="F3" s="45"/>
      <c r="G3" s="45"/>
      <c r="H3" s="45"/>
    </row>
    <row r="4" spans="1:9" ht="20.25" customHeight="1" x14ac:dyDescent="0.3">
      <c r="D4" s="46" t="s">
        <v>88</v>
      </c>
      <c r="E4" s="45"/>
      <c r="F4" s="45"/>
      <c r="G4" s="45"/>
      <c r="H4" s="45"/>
    </row>
    <row r="5" spans="1:9" ht="23.25" customHeight="1" x14ac:dyDescent="0.3">
      <c r="D5" s="47" t="s">
        <v>89</v>
      </c>
      <c r="E5" s="45"/>
      <c r="F5" s="45"/>
      <c r="G5" s="45"/>
      <c r="H5" s="45"/>
    </row>
    <row r="6" spans="1:9" ht="24.75" customHeight="1" x14ac:dyDescent="0.3">
      <c r="A6" s="443" t="s">
        <v>90</v>
      </c>
      <c r="B6" s="443"/>
      <c r="C6" s="443"/>
      <c r="D6" s="46" t="s">
        <v>91</v>
      </c>
      <c r="E6" s="48"/>
      <c r="F6" s="48"/>
      <c r="G6" s="48"/>
      <c r="H6" s="48"/>
    </row>
    <row r="7" spans="1:9" ht="24.75" customHeight="1" x14ac:dyDescent="0.3">
      <c r="A7" s="443" t="s">
        <v>92</v>
      </c>
      <c r="B7" s="443"/>
      <c r="C7" s="443"/>
      <c r="D7" s="47" t="s">
        <v>93</v>
      </c>
      <c r="E7" s="48"/>
      <c r="F7" s="48"/>
      <c r="G7" s="48"/>
      <c r="H7" s="48"/>
    </row>
    <row r="8" spans="1:9" ht="24.75" customHeight="1" x14ac:dyDescent="0.3">
      <c r="A8" s="443" t="s">
        <v>94</v>
      </c>
      <c r="B8" s="443"/>
      <c r="C8" s="443"/>
      <c r="D8" s="47" t="s">
        <v>95</v>
      </c>
      <c r="E8" s="48"/>
      <c r="F8" s="48"/>
      <c r="G8" s="48"/>
      <c r="H8" s="48"/>
    </row>
    <row r="9" spans="1:9" ht="24.75" customHeight="1" x14ac:dyDescent="0.2">
      <c r="D9" s="48"/>
      <c r="E9" s="48"/>
      <c r="F9" s="48"/>
      <c r="G9" s="48"/>
      <c r="H9" s="48"/>
    </row>
    <row r="10" spans="1:9" ht="24.75" customHeight="1" x14ac:dyDescent="0.2">
      <c r="D10" s="48"/>
      <c r="E10" s="48"/>
      <c r="F10" s="48"/>
      <c r="G10" s="48"/>
      <c r="H10" s="48"/>
    </row>
    <row r="12" spans="1:9" ht="12.75" customHeight="1" x14ac:dyDescent="0.2">
      <c r="A12" s="456" t="s">
        <v>61</v>
      </c>
      <c r="B12" s="456"/>
      <c r="C12" s="456"/>
      <c r="D12" s="456"/>
      <c r="E12" s="456"/>
      <c r="F12" s="456"/>
      <c r="G12" s="456"/>
      <c r="H12" s="456"/>
      <c r="I12" s="456"/>
    </row>
    <row r="13" spans="1:9" ht="28.5" customHeight="1" x14ac:dyDescent="0.2">
      <c r="A13" s="456"/>
      <c r="B13" s="456"/>
      <c r="C13" s="456"/>
      <c r="D13" s="456"/>
      <c r="E13" s="456"/>
      <c r="F13" s="456"/>
      <c r="G13" s="456"/>
      <c r="H13" s="456"/>
      <c r="I13" s="456"/>
    </row>
    <row r="14" spans="1:9" ht="17.25" customHeight="1" x14ac:dyDescent="0.2">
      <c r="B14" s="49"/>
      <c r="C14" s="49"/>
      <c r="D14" s="49"/>
      <c r="E14" s="49"/>
      <c r="F14" s="50"/>
      <c r="G14" s="49"/>
      <c r="H14" s="49"/>
    </row>
    <row r="15" spans="1:9" ht="17.25" customHeight="1" x14ac:dyDescent="0.2">
      <c r="A15" s="49"/>
      <c r="B15" s="49"/>
      <c r="C15" s="49"/>
      <c r="D15" s="49"/>
      <c r="E15" s="49"/>
      <c r="F15" s="51"/>
      <c r="G15" s="51"/>
      <c r="H15" s="457" t="s">
        <v>312</v>
      </c>
      <c r="I15" s="457"/>
    </row>
    <row r="16" spans="1:9" ht="12.75" customHeight="1" x14ac:dyDescent="0.2">
      <c r="A16" s="450" t="s">
        <v>96</v>
      </c>
      <c r="B16" s="451" t="s">
        <v>105</v>
      </c>
      <c r="C16" s="451" t="s">
        <v>62</v>
      </c>
      <c r="D16" s="451"/>
      <c r="E16" s="451"/>
      <c r="F16" s="458" t="s">
        <v>98</v>
      </c>
      <c r="G16" s="458"/>
      <c r="H16" s="458"/>
      <c r="I16" s="458"/>
    </row>
    <row r="17" spans="1:9" ht="28.5" customHeight="1" x14ac:dyDescent="0.2">
      <c r="A17" s="450"/>
      <c r="B17" s="451"/>
      <c r="C17" s="451"/>
      <c r="D17" s="451"/>
      <c r="E17" s="451"/>
      <c r="F17" s="53" t="s">
        <v>63</v>
      </c>
      <c r="G17" s="52" t="s">
        <v>5</v>
      </c>
      <c r="H17" s="52" t="s">
        <v>64</v>
      </c>
      <c r="I17" s="52" t="s">
        <v>65</v>
      </c>
    </row>
    <row r="18" spans="1:9" ht="91.5" customHeight="1" x14ac:dyDescent="0.2">
      <c r="A18" s="54" t="s">
        <v>66</v>
      </c>
      <c r="B18" s="55">
        <v>12</v>
      </c>
      <c r="C18" s="435" t="s">
        <v>67</v>
      </c>
      <c r="D18" s="435"/>
      <c r="E18" s="435"/>
      <c r="F18" s="56" t="s">
        <v>108</v>
      </c>
      <c r="G18" s="57">
        <v>535</v>
      </c>
      <c r="H18" s="58">
        <v>520</v>
      </c>
      <c r="I18" s="58">
        <v>500</v>
      </c>
    </row>
    <row r="19" spans="1:9" ht="126.75" customHeight="1" x14ac:dyDescent="0.2">
      <c r="A19" s="59" t="s">
        <v>68</v>
      </c>
      <c r="B19" s="55">
        <v>12</v>
      </c>
      <c r="C19" s="435" t="s">
        <v>67</v>
      </c>
      <c r="D19" s="435"/>
      <c r="E19" s="435"/>
      <c r="F19" s="56" t="s">
        <v>108</v>
      </c>
      <c r="G19" s="57">
        <v>587</v>
      </c>
      <c r="H19" s="58">
        <v>561</v>
      </c>
      <c r="I19" s="58">
        <v>541</v>
      </c>
    </row>
    <row r="20" spans="1:9" ht="123.75" customHeight="1" x14ac:dyDescent="0.2">
      <c r="A20" s="59" t="s">
        <v>109</v>
      </c>
      <c r="B20" s="55">
        <v>12</v>
      </c>
      <c r="C20" s="436" t="s">
        <v>67</v>
      </c>
      <c r="D20" s="437"/>
      <c r="E20" s="438"/>
      <c r="F20" s="56" t="s">
        <v>108</v>
      </c>
      <c r="G20" s="57">
        <v>587</v>
      </c>
      <c r="H20" s="58">
        <v>561</v>
      </c>
      <c r="I20" s="58">
        <v>541</v>
      </c>
    </row>
    <row r="21" spans="1:9" ht="126" customHeight="1" x14ac:dyDescent="0.2">
      <c r="A21" s="59" t="s">
        <v>110</v>
      </c>
      <c r="B21" s="55">
        <v>12</v>
      </c>
      <c r="C21" s="436" t="s">
        <v>67</v>
      </c>
      <c r="D21" s="437"/>
      <c r="E21" s="438"/>
      <c r="F21" s="56" t="s">
        <v>108</v>
      </c>
      <c r="G21" s="57">
        <v>665</v>
      </c>
      <c r="H21" s="58">
        <v>639</v>
      </c>
      <c r="I21" s="58">
        <v>612</v>
      </c>
    </row>
    <row r="22" spans="1:9" ht="34.5" customHeight="1" x14ac:dyDescent="0.2">
      <c r="A22" s="459" t="s">
        <v>69</v>
      </c>
      <c r="B22" s="459"/>
      <c r="C22" s="459"/>
      <c r="D22" s="459"/>
      <c r="E22" s="459"/>
      <c r="F22" s="459"/>
      <c r="G22" s="459"/>
      <c r="H22" s="459"/>
      <c r="I22" s="459"/>
    </row>
    <row r="23" spans="1:9" ht="97.5" customHeight="1" x14ac:dyDescent="0.2">
      <c r="A23" s="60" t="s">
        <v>70</v>
      </c>
      <c r="B23" s="61">
        <v>36</v>
      </c>
      <c r="C23" s="439">
        <v>3000</v>
      </c>
      <c r="D23" s="439"/>
      <c r="E23" s="439"/>
      <c r="F23" s="62"/>
      <c r="G23" s="63">
        <v>263</v>
      </c>
      <c r="H23" s="64">
        <f>G23*0.95</f>
        <v>249.85</v>
      </c>
      <c r="I23" s="64">
        <f>G23*0.92</f>
        <v>241.96</v>
      </c>
    </row>
    <row r="24" spans="1:9" ht="95.25" customHeight="1" x14ac:dyDescent="0.2">
      <c r="A24" s="65" t="s">
        <v>71</v>
      </c>
      <c r="B24" s="65">
        <v>18</v>
      </c>
      <c r="C24" s="433">
        <v>3000</v>
      </c>
      <c r="D24" s="433"/>
      <c r="E24" s="433"/>
      <c r="F24" s="66"/>
      <c r="G24" s="67">
        <v>487</v>
      </c>
      <c r="H24" s="64">
        <v>462</v>
      </c>
      <c r="I24" s="64">
        <f>G24*0.92</f>
        <v>448.04</v>
      </c>
    </row>
    <row r="25" spans="1:9" ht="102.75" customHeight="1" x14ac:dyDescent="0.2">
      <c r="A25" s="65" t="s">
        <v>72</v>
      </c>
      <c r="B25" s="65">
        <v>100</v>
      </c>
      <c r="C25" s="433">
        <v>3000</v>
      </c>
      <c r="D25" s="433"/>
      <c r="E25" s="433"/>
      <c r="F25" s="62"/>
      <c r="G25" s="67">
        <v>93</v>
      </c>
      <c r="H25" s="64">
        <f>G25*0.95</f>
        <v>88.35</v>
      </c>
      <c r="I25" s="64">
        <v>85</v>
      </c>
    </row>
    <row r="26" spans="1:9" ht="88.5" customHeight="1" x14ac:dyDescent="0.2">
      <c r="A26" s="61" t="s">
        <v>73</v>
      </c>
      <c r="B26" s="61">
        <v>36</v>
      </c>
      <c r="C26" s="434">
        <v>3000</v>
      </c>
      <c r="D26" s="434"/>
      <c r="E26" s="434"/>
      <c r="F26" s="68"/>
      <c r="G26" s="69">
        <v>216</v>
      </c>
      <c r="H26" s="64">
        <v>206</v>
      </c>
      <c r="I26" s="64">
        <f>G26*0.92</f>
        <v>198.72</v>
      </c>
    </row>
    <row r="27" spans="1:9" ht="42.75" customHeight="1" x14ac:dyDescent="0.2">
      <c r="A27" s="460" t="s">
        <v>74</v>
      </c>
      <c r="B27" s="460"/>
      <c r="C27" s="460"/>
      <c r="D27" s="460"/>
      <c r="E27" s="460"/>
      <c r="F27" s="460"/>
      <c r="G27" s="460"/>
      <c r="H27" s="460"/>
      <c r="I27" s="460"/>
    </row>
    <row r="28" spans="1:9" ht="114" customHeight="1" x14ac:dyDescent="0.2">
      <c r="A28" s="70" t="s">
        <v>30</v>
      </c>
      <c r="B28" s="71">
        <v>10</v>
      </c>
      <c r="C28" s="461" t="s">
        <v>75</v>
      </c>
      <c r="D28" s="461"/>
      <c r="E28" s="461"/>
      <c r="F28" s="72"/>
      <c r="G28" s="54">
        <v>240</v>
      </c>
      <c r="H28" s="64">
        <f>G28*0.95</f>
        <v>228</v>
      </c>
      <c r="I28" s="64">
        <v>220</v>
      </c>
    </row>
    <row r="29" spans="1:9" ht="67.5" customHeight="1" x14ac:dyDescent="0.2">
      <c r="A29" s="71" t="s">
        <v>76</v>
      </c>
      <c r="B29" s="71">
        <v>30</v>
      </c>
      <c r="C29" s="461" t="s">
        <v>77</v>
      </c>
      <c r="D29" s="461"/>
      <c r="E29" s="461"/>
      <c r="F29" s="461"/>
      <c r="G29" s="54">
        <v>55</v>
      </c>
      <c r="H29" s="64">
        <f t="shared" ref="H29:H34" si="0">G29*0.95</f>
        <v>52.25</v>
      </c>
      <c r="I29" s="64">
        <v>50</v>
      </c>
    </row>
    <row r="30" spans="1:9" ht="50.1" customHeight="1" x14ac:dyDescent="0.2">
      <c r="A30" s="71" t="s">
        <v>78</v>
      </c>
      <c r="B30" s="71">
        <v>30</v>
      </c>
      <c r="C30" s="461"/>
      <c r="D30" s="461"/>
      <c r="E30" s="461"/>
      <c r="F30" s="461"/>
      <c r="G30" s="54">
        <v>77</v>
      </c>
      <c r="H30" s="64">
        <f t="shared" si="0"/>
        <v>73.149999999999991</v>
      </c>
      <c r="I30" s="64">
        <f t="shared" ref="I30:I34" si="1">G30*0.92</f>
        <v>70.84</v>
      </c>
    </row>
    <row r="31" spans="1:9" ht="50.1" customHeight="1" x14ac:dyDescent="0.2">
      <c r="A31" s="71" t="s">
        <v>79</v>
      </c>
      <c r="B31" s="71">
        <v>15</v>
      </c>
      <c r="C31" s="461" t="s">
        <v>80</v>
      </c>
      <c r="D31" s="461"/>
      <c r="E31" s="461"/>
      <c r="F31" s="462"/>
      <c r="G31" s="54">
        <v>101</v>
      </c>
      <c r="H31" s="64">
        <f t="shared" si="0"/>
        <v>95.949999999999989</v>
      </c>
      <c r="I31" s="64">
        <f t="shared" si="1"/>
        <v>92.92</v>
      </c>
    </row>
    <row r="32" spans="1:9" ht="50.1" customHeight="1" x14ac:dyDescent="0.2">
      <c r="A32" s="71" t="s">
        <v>81</v>
      </c>
      <c r="B32" s="71">
        <v>15</v>
      </c>
      <c r="C32" s="461"/>
      <c r="D32" s="461"/>
      <c r="E32" s="461"/>
      <c r="F32" s="462"/>
      <c r="G32" s="54">
        <v>132</v>
      </c>
      <c r="H32" s="64">
        <v>126</v>
      </c>
      <c r="I32" s="64">
        <v>122</v>
      </c>
    </row>
    <row r="33" spans="1:9" ht="50.1" customHeight="1" x14ac:dyDescent="0.2">
      <c r="A33" s="71" t="s">
        <v>82</v>
      </c>
      <c r="B33" s="71">
        <v>10</v>
      </c>
      <c r="C33" s="461" t="s">
        <v>83</v>
      </c>
      <c r="D33" s="461"/>
      <c r="E33" s="461"/>
      <c r="F33" s="462"/>
      <c r="G33" s="54">
        <v>163</v>
      </c>
      <c r="H33" s="64">
        <f t="shared" si="0"/>
        <v>154.85</v>
      </c>
      <c r="I33" s="64">
        <v>149</v>
      </c>
    </row>
    <row r="34" spans="1:9" ht="50.1" customHeight="1" x14ac:dyDescent="0.2">
      <c r="A34" s="71" t="s">
        <v>84</v>
      </c>
      <c r="B34" s="71">
        <v>10</v>
      </c>
      <c r="C34" s="461"/>
      <c r="D34" s="461"/>
      <c r="E34" s="461"/>
      <c r="F34" s="462"/>
      <c r="G34" s="54">
        <v>178</v>
      </c>
      <c r="H34" s="64">
        <f t="shared" si="0"/>
        <v>169.1</v>
      </c>
      <c r="I34" s="64">
        <f t="shared" si="1"/>
        <v>163.76000000000002</v>
      </c>
    </row>
  </sheetData>
  <sheetProtection password="CC3B" sheet="1" objects="1" scenarios="1" selectLockedCells="1" selectUnlockedCells="1"/>
  <mergeCells count="26">
    <mergeCell ref="C26:E26"/>
    <mergeCell ref="A27:I27"/>
    <mergeCell ref="C33:E34"/>
    <mergeCell ref="F33:F34"/>
    <mergeCell ref="C28:E28"/>
    <mergeCell ref="C29:E30"/>
    <mergeCell ref="F29:F30"/>
    <mergeCell ref="C31:E32"/>
    <mergeCell ref="F31:F32"/>
    <mergeCell ref="C19:E19"/>
    <mergeCell ref="A22:I22"/>
    <mergeCell ref="C23:E23"/>
    <mergeCell ref="C24:E24"/>
    <mergeCell ref="C25:E25"/>
    <mergeCell ref="C20:E20"/>
    <mergeCell ref="C21:E21"/>
    <mergeCell ref="A16:A17"/>
    <mergeCell ref="B16:B17"/>
    <mergeCell ref="C16:E17"/>
    <mergeCell ref="F16:I16"/>
    <mergeCell ref="C18:E18"/>
    <mergeCell ref="A6:C6"/>
    <mergeCell ref="A7:C7"/>
    <mergeCell ref="A8:C8"/>
    <mergeCell ref="A12:I13"/>
    <mergeCell ref="H15:I15"/>
  </mergeCells>
  <phoneticPr fontId="24" type="noConversion"/>
  <pageMargins left="0.78749999999999998" right="0.78749999999999998" top="1.0249999999999999" bottom="1.0249999999999999" header="0.78749999999999998" footer="0.78749999999999998"/>
  <pageSetup paperSize="9" scale="45" orientation="portrait" useFirstPageNumber="1" horizontalDpi="300" verticalDpi="300" r:id="rId1"/>
  <headerFooter alignWithMargins="0">
    <oddHeader>&amp;C&amp;A</oddHeader>
    <oddFooter>&amp;CPage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винил сайдинг А-П РОЗНИЦА</vt:lpstr>
      <vt:lpstr>винил блокхаус РОЗНИЦА</vt:lpstr>
      <vt:lpstr>Я-Фасад</vt:lpstr>
      <vt:lpstr>Виниловый сайдинг GL</vt:lpstr>
      <vt:lpstr>Сайдинг Карелия Розница</vt:lpstr>
      <vt:lpstr>Альта-Борд РОЗНИЦА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Админ</cp:lastModifiedBy>
  <cp:revision>0</cp:revision>
  <cp:lastPrinted>2019-03-15T11:26:12Z</cp:lastPrinted>
  <dcterms:created xsi:type="dcterms:W3CDTF">2013-06-17T11:31:43Z</dcterms:created>
  <dcterms:modified xsi:type="dcterms:W3CDTF">2019-04-03T09:38:48Z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1033-9.1.0.4746</vt:lpwstr>
  </property>
</Properties>
</file>